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emissas" sheetId="1" state="visible" r:id="rId3"/>
    <sheet name="Fontes e Usos" sheetId="2" state="visible" r:id="rId4"/>
    <sheet name="Cronograma da Dívida" sheetId="3" state="visible" r:id="rId5"/>
    <sheet name="Notas e Fontes" sheetId="4" state="visible" r:id="rId6"/>
    <sheet name="Fluxo Consolidado + Dívida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<sst xmlns="http://schemas.openxmlformats.org/spreadsheetml/2006/main" count="142" uniqueCount="103">
  <si>
    <t xml:space="preserve">Captação — Cenário 12 anos (2 de carência + 10 de amortização SAC)</t>
  </si>
  <si>
    <t xml:space="preserve">CRI / Fundo Imobiliário (estrutura em estudo) · juros IPCA + 10% a.a.</t>
  </si>
  <si>
    <t xml:space="preserve">TAXA E PRAZO</t>
  </si>
  <si>
    <t xml:space="preserve">IPCA acumulado 12 meses (jun/2026, IBGE)</t>
  </si>
  <si>
    <t xml:space="preserve">◄ IBGE</t>
  </si>
  <si>
    <t xml:space="preserve">Spread contratado</t>
  </si>
  <si>
    <t xml:space="preserve">Taxa nominal (IPCA + spread, composta)</t>
  </si>
  <si>
    <t xml:space="preserve">Data da captação</t>
  </si>
  <si>
    <t xml:space="preserve">Meses de juros no ano 1 (ano civil incompleto)</t>
  </si>
  <si>
    <t xml:space="preserve">Carência (anos, só juros)</t>
  </si>
  <si>
    <t xml:space="preserve">Amortização pós-carência (anos)</t>
  </si>
  <si>
    <t xml:space="preserve">Prazo total (anos)</t>
  </si>
  <si>
    <t xml:space="preserve">Sistema de amortização</t>
  </si>
  <si>
    <t xml:space="preserve">SAC (parcelas constantes de principal)</t>
  </si>
  <si>
    <t xml:space="preserve">PARTE 1 — MONTES CLAROS (saque imediato)</t>
  </si>
  <si>
    <t xml:space="preserve">Quitar 100% dívida BDMG (Montes Claros)</t>
  </si>
  <si>
    <t xml:space="preserve">◄ saldo atual, 4 parcelas em atraso</t>
  </si>
  <si>
    <t xml:space="preserve">Finalizar obra Montes Claros</t>
  </si>
  <si>
    <t xml:space="preserve">◄ saldo a pagar; quitação antecipada pode sair por R$ 2.304.879</t>
  </si>
  <si>
    <t xml:space="preserve">Subtotal Parte 1</t>
  </si>
  <si>
    <t xml:space="preserve">PARTE 2 — GRÃO MOGOL + MONTE AZUL (escrow, sacada durante a obra)</t>
  </si>
  <si>
    <t xml:space="preserve">CAPEX 100% Grão Mogol</t>
  </si>
  <si>
    <t xml:space="preserve">CAPEX 100% Monte Azul I e II</t>
  </si>
  <si>
    <t xml:space="preserve">Subtotal Parte 2</t>
  </si>
  <si>
    <t xml:space="preserve">RESERVA (Debt Service Reserve)</t>
  </si>
  <si>
    <t xml:space="preserve">Pico de déficit de caixa acumulado (ago/2027, simulação mensal)</t>
  </si>
  <si>
    <t xml:space="preserve">◄ calculado mês a mês com os prazos reais de recebimento de cada usina</t>
  </si>
  <si>
    <t xml:space="preserve">Margem de segurança sobre o pico</t>
  </si>
  <si>
    <t xml:space="preserve">Reserva total</t>
  </si>
  <si>
    <t xml:space="preserve">ESTRUTURAÇÃO E TOTAL</t>
  </si>
  <si>
    <t xml:space="preserve">Base (Parte 1 + Parte 2)</t>
  </si>
  <si>
    <t xml:space="preserve">Subtotal (Base + Reserva)</t>
  </si>
  <si>
    <t xml:space="preserve">Fee de estruturação (% sobre Base + Reserva)</t>
  </si>
  <si>
    <t xml:space="preserve">◄ estimativa, a confirmar com o estruturador</t>
  </si>
  <si>
    <t xml:space="preserve">Valor do fee</t>
  </si>
  <si>
    <t xml:space="preserve">CAPTAÇÃO TOTAL</t>
  </si>
  <si>
    <t xml:space="preserve">PARAISÓPOLIS — SOMENTE GARANTIA</t>
  </si>
  <si>
    <t xml:space="preserve">Valor do ativo dado em garantia (100%)</t>
  </si>
  <si>
    <t xml:space="preserve">◄ usina e recebíveis em penhor de primeiro grau</t>
  </si>
  <si>
    <t xml:space="preserve">Paraisópolis não integra o fluxo do projeto: o caixa gerado por ela não serve o serviço da dívida e não entra no CFADS. A dívida do Itaú, com saldo de R$ 2.654.715 e 21 parcelas até mar/2028, permanece em pé, mas não tem garantia real sobre o ativo, então o penhor de primeiro grau alcança o valor cheio. Confirmar no contrato do Itaú a ausência de cláusula de negative pledge antes de formalizar.</t>
  </si>
  <si>
    <t xml:space="preserve">Fontes e Usos — Captação (12 anos)</t>
  </si>
  <si>
    <t xml:space="preserve">Item</t>
  </si>
  <si>
    <t xml:space="preserve">Valor (R$)</t>
  </si>
  <si>
    <t xml:space="preserve">% do total</t>
  </si>
  <si>
    <t xml:space="preserve">USOS</t>
  </si>
  <si>
    <t xml:space="preserve">Reserva (Debt Service Reserve)</t>
  </si>
  <si>
    <t xml:space="preserve">Fee de estruturação</t>
  </si>
  <si>
    <t xml:space="preserve">Total dos Usos</t>
  </si>
  <si>
    <t xml:space="preserve">FONTES</t>
  </si>
  <si>
    <t xml:space="preserve">Captação (CRI/FII, IPCA + 10% a.a., 12 anos)</t>
  </si>
  <si>
    <t xml:space="preserve">Total das Fontes</t>
  </si>
  <si>
    <t xml:space="preserve">Conferência (Fontes − Usos)</t>
  </si>
  <si>
    <t xml:space="preserve">Paraisópolis não integra os usos nem o fluxo do projeto. Entra apenas como garantia, com a usina e os recebíveis dados em penhor, e sua dívida com o Itaú permanece em pé.</t>
  </si>
  <si>
    <t xml:space="preserve">Cronograma da Dívida — SAC, 2 anos de carência + 10 de amortização</t>
  </si>
  <si>
    <t xml:space="preserve">Ano</t>
  </si>
  <si>
    <t xml:space="preserve">Saldo Ini.
Parte 1</t>
  </si>
  <si>
    <t xml:space="preserve">Saldo Ini.
Parte 2</t>
  </si>
  <si>
    <t xml:space="preserve">Juros</t>
  </si>
  <si>
    <t xml:space="preserve">Amort.
Parte 1</t>
  </si>
  <si>
    <t xml:space="preserve">Amort.
Parte 2</t>
  </si>
  <si>
    <t xml:space="preserve">Serviço da
Dívida</t>
  </si>
  <si>
    <t xml:space="preserve">CFADS
(portfólio)</t>
  </si>
  <si>
    <t xml:space="preserve">DSCR
sem reserva</t>
  </si>
  <si>
    <t xml:space="preserve">Saque
Reserva</t>
  </si>
  <si>
    <t xml:space="preserve">Saldo
Reserva</t>
  </si>
  <si>
    <t xml:space="preserve">DSCR
com reserva</t>
  </si>
  <si>
    <t xml:space="preserve">Total</t>
  </si>
  <si>
    <t xml:space="preserve">CFADS = resultado líquido consolidado das quatro usinas (Montes Claros, Paraisópolis com expansão a partir de fev/2029, Grão Mogol e Monte Azul), digitado a partir dos modelos individuais de cada ativo. Parte 1 é sacada na assinatura (ago/2026) e amortiza de 2028 a 2037. Parte 2 é sacada ao longo de 2027 e amortiza de 2029 a 2038. Em 2026 os juros incidem apenas sobre a Parte 1 e por 4 meses. A reserva é acionada automaticamente quando o DSCR ficaria abaixo de 1,20x, até o limite do saldo disponível.</t>
  </si>
  <si>
    <t xml:space="preserve">Notas, Premissas e Fontes</t>
  </si>
  <si>
    <t xml:space="preserve">Estrutura da operação</t>
  </si>
  <si>
    <t xml:space="preserve">Captação única em CRI ou FII, em estudo, com juros de IPCA mais 10% ao ano compostos, prazo de 12 anos, sendo 2 de carência pagando apenas juros e 10 de amortização pelo sistema SAC. O recurso é usado em duas partes: a Parte 1 é sacada na assinatura e resolve a estrutura societária e de dívida de Paraisópolis e Montes Claros; a Parte 2 fica em escrow e é liberada conforme a medição de obra de Grão Mogol e Monte Azul, de modo que os juros só correm sobre cada parcela a partir do saque.</t>
  </si>
  <si>
    <t xml:space="preserve">Taxa</t>
  </si>
  <si>
    <t xml:space="preserve">IPCA acumulado em 12 meses de 4,64% (IBGE, jun/2026) composto com spread de 10% ao ano, resultando em 15,104% ao ano. A composição é multiplicativa, (1+IPCA)x(1+spread)-1, e não a soma simples.</t>
  </si>
  <si>
    <t xml:space="preserve">Dívida quitada</t>
  </si>
  <si>
    <t xml:space="preserve">BDMG, em Montes Claros: saldo de R$ 11.000.000 a SELIC mais 4,5% ao ano, hoje 19,39% ao ano, com 4 parcelas em atraso. A cédula original, de out/2024, era de R$ 9.000.000. A quitação baixa a hipoteca das matrículas 40.122 e 40.124, libera a cessão fiduciária dos recebíveis e desobriga a conta vinculada de saldo mínimo de R$ 588 mil.</t>
  </si>
  <si>
    <t xml:space="preserve">Compra dos 50% de Paraisópolis</t>
  </si>
  <si>
    <t xml:space="preserve">Premissa de R$ 2.000.000, a confirmar na negociação. A parte do sócio vale R$ 2.722.642, calculada como 50% do ativo (R$ 8,1 milhões) menos 50% do saldo da dívida do Itaú. A oferta representa desconto de 26,5%, sustentado pela posição dele: ativo ilíquido, sem distribuição, e ainda com aporte de R$ 12.374 por mês para cobrir a parcela até mar/2028.</t>
  </si>
  <si>
    <t xml:space="preserve">Paraisópolis</t>
  </si>
  <si>
    <t xml:space="preserve">Não integra o projeto nem o fluxo. A usina, operando desde dez/2023, e seus recebíveis são dados em garantia da captação, mas o caixa gerado por ela não serve o serviço da dívida e não entra no CFADS. A dívida com o Itaú permanece em pé, com saldo de R$ 2.654.715 e 21 parcelas de R$ 126.415 até mar/2028, porém sem garantia real sobre o ativo. Como o Itaú é credor quirografário nesse aspecto, o penhor de primeiro grau da nova operação alcança o valor cheio, R$ 8.100.000. Confirmar no contrato do Itaú a ausência de cláusula de negative pledge antes de formalizar.</t>
  </si>
  <si>
    <t xml:space="preserve">Reserva</t>
  </si>
  <si>
    <t xml:space="preserve">Dimensionada por simulação mensal do caixa consolidado, respeitando os prazos reais de recebimento de cada usina: Montes Claros recebe a locação com 3 meses de defasagem e o O&amp;M com 4, conforme as cláusulas 4.2 e 3.7 dos contratos, e Grão Mogol e Monte Azul seguem o padrão de 4 meses. Paraisópolis não entra na simulação por não integrar o fluxo. O pico de déficit acumulado ocorre em ago/2027, em R$ 3.012.947, quando o serviço da dívida já é integral mas os dois projetos novos ainda não começaram a receber. Sobre esse pico aplica-se margem de segurança de 25%.</t>
  </si>
  <si>
    <t xml:space="preserve">CFADS e resultado líquido</t>
  </si>
  <si>
    <t xml:space="preserve">CFADS (Cash Flow Available for Debt Service) é o caixa disponível para o serviço da dívida, consolidado das três usinas do projeto. Calculado em cada modelo individual pela cascata do Lucro Presumido: Receita Bruta menos PIS e COFINS a 3,65% dá a Receita Líquida; menos OPEX a 7,5% da receita bruta dá o EBITDA; menos IRPJ e CSLL a 9,06% da receita bruta dá o CFADS. A carga tributária total é de 12,71% da receita bruta. Não desconta depreciação, que não movimenta caixa, nem despesa financeira, que é o próprio compromisso que se quer cobrir; descontá-los seria contar duas vezes. Na DFC (CPC 03) equivale ao Caixa Líquido Gerado pelas Atividades Operacionais. Não confundir com lucro líquido contábil, que seria menor. Reajuste anual de 5,5% e degradação de módulos de 0,5% ao ano.</t>
  </si>
  <si>
    <t xml:space="preserve">Garantias</t>
  </si>
  <si>
    <t xml:space="preserve">Paraisópolis entra como garantia, com a usina e os recebíveis em penhor, sem integrar o fluxo. A quitação do BDMG baixa de imediato a hipoteca do terreno urbano de 101.538,69 m² em Mauá/SP, avaliado em R$ 20 milhões de valor de mercado e R$ 16 milhões em venda forçada por laudo da Laupertec de jan/2024. O laudo do próprio BDMG, de mar/2024, é mais conservador, em R$ 11,15 milhões de mercado. Montes Claros, Grão Mogol e Monte Azul somam-se ao lastro conforme entram em operação.</t>
  </si>
  <si>
    <t xml:space="preserve">Limitações</t>
  </si>
  <si>
    <t xml:space="preserve">Os valores de Grão Mogol e Monte Azul são estimativas proporcionais a Montes Claros, com CAPEX a R$ 3,5 milhões por MWp e razão kWp/kWac de 1,2692; serão precisados na compra dos módulos. A receita da expansão de Paraisópolis é estimada como proporcional ao incremento de capacidade sobre o padrão real do ativo atual, por não haver contrato específico. O fee de estruturação de 3% é estimativa. As abas Cronograma da Dívida e Fluxo Consolidado trazem o CFADS digitado a partir dos modelos individuais, então qualquer alteração naqueles arquivos precisa ser refletida aqui manualmente.</t>
  </si>
  <si>
    <t xml:space="preserve">Fluxo Consolidado das Usinas do Projeto + Dívida — Vida Útil Completa (2026-2056)</t>
  </si>
  <si>
    <t xml:space="preserve">Receita
Montes Claros</t>
  </si>
  <si>
    <t xml:space="preserve">Receita
Grão Mogol</t>
  </si>
  <si>
    <t xml:space="preserve">Receita
Monte Azul</t>
  </si>
  <si>
    <t xml:space="preserve">Receita Total</t>
  </si>
  <si>
    <t xml:space="preserve">EBITDA Total</t>
  </si>
  <si>
    <t xml:space="preserve">CFADS Total</t>
  </si>
  <si>
    <t xml:space="preserve">Fluxo de Caixa
Líquido Final</t>
  </si>
  <si>
    <t xml:space="preserve">DSCR</t>
  </si>
  <si>
    <t xml:space="preserve">Fase</t>
  </si>
  <si>
    <t xml:space="preserve">Fator de
Desconto</t>
  </si>
  <si>
    <t xml:space="preserve">VP do Fluxo
de Caixa</t>
  </si>
  <si>
    <t xml:space="preserve">Carência</t>
  </si>
  <si>
    <t xml:space="preserve">Amortização</t>
  </si>
  <si>
    <t xml:space="preserve">Subtotal 2040-2056 (sem dívida)</t>
  </si>
  <si>
    <t xml:space="preserve">CFADS (Cash Flow Available for Debt Service) é o caixa disponível para o serviço da dívida: receita bruta menos PIS e COFINS, menos OPEX, menos IRPJ e CSLL. Não desconta depreciação, que não movimenta caixa, nem despesa financeira, que é justamente o compromisso que se quer cobrir. Na DFC (CPC 03) equivale ao Caixa Líquido Gerado pelas Atividades Operacionais. Não confundir com lucro líquido contábil, que seria menor por descontar depreciação e juros. Receitas, EBITDA e resultado líquido das três usinas do projeto (Montes Claros, Grão Mogol e Monte Azul), digitados a partir dos modelos individuais (retrato estático: se um modelo mudar, atualizar aqui). Serviço da dívida, saque e saldo da reserva vêm da aba Cronograma da Dívida. Fluxo de Caixa Líquido Final = CFADS + Saque da Reserva − Serviço da Dívida. VP calculado ano a ano à taxa de Premissas!B7 (IPCA + 10%): 2026 é o ano corrente (t=0, sem desconto) e 2027 em diante é descontado a t=1,2,3... Linhas em bege = carência; em rosa = amortização; em verde = dívida quitada. Paraisópolis não aparece aqui: entra apenas como garantia e seu caixa não serve o serviço da dívida.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</si>
</sst>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%"/>
    <numFmt numFmtId="166" formatCode="dd/mm/yyyy"/>
    <numFmt numFmtId="167" formatCode="0"/>
    <numFmt numFmtId="168" formatCode="#,##0;\(#,##0\);\-"/>
    <numFmt numFmtId="169" formatCode="0.00\x"/>
    <numFmt numFmtId="170" formatCode="0.0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4E78"/>
      <name val="Arial"/>
      <family val="0"/>
      <charset val="1"/>
    </font>
    <font>
      <i val="true"/>
      <sz val="9"/>
      <color rgb="FF5C6B74"/>
      <name val="Arial"/>
      <family val="0"/>
      <charset val="1"/>
    </font>
    <font>
      <b val="true"/>
      <sz val="11"/>
      <color rgb="FF1F4E78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008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EAF3EC"/>
      </patternFill>
    </fill>
    <fill>
      <patternFill patternType="solid">
        <fgColor rgb="FFBFBFBF"/>
        <bgColor rgb="FFD9D9D9"/>
      </patternFill>
    </fill>
    <fill>
      <patternFill patternType="solid">
        <fgColor rgb="FF1F4E78"/>
        <bgColor rgb="FF003366"/>
      </patternFill>
    </fill>
    <fill>
      <patternFill patternType="solid">
        <fgColor rgb="FFFDF3DC"/>
        <bgColor rgb="FFFCE9E4"/>
      </patternFill>
    </fill>
    <fill>
      <patternFill patternType="solid">
        <fgColor rgb="FFFCE9E4"/>
        <bgColor rgb="FFFDF3DC"/>
      </patternFill>
    </fill>
    <fill>
      <patternFill patternType="solid">
        <fgColor rgb="FFEAF3EC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7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8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7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0" fontId="7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F3DC"/>
      <rgbColor rgb="FFEAF3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CE9E4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6B74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2"/>
    <col collapsed="false" customWidth="true" hidden="false" outlineLevel="0" max="2" min="2" style="1" width="18"/>
    <col collapsed="false" customWidth="true" hidden="false" outlineLevel="0" max="3" min="3" style="1" width="62"/>
  </cols>
  <sheetData>
    <row r="1" customFormat="false" ht="15.7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  <c r="B4" s="5"/>
      <c r="C4" s="5"/>
    </row>
    <row r="5" customFormat="false" ht="15" hidden="false" customHeight="true" outlineLevel="0" collapsed="false">
      <c r="A5" s="6" t="s">
        <v>3</v>
      </c>
      <c r="B5" s="7" t="n">
        <v>0.0464</v>
      </c>
      <c r="C5" s="3" t="s">
        <v>4</v>
      </c>
    </row>
    <row r="6" customFormat="false" ht="15" hidden="false" customHeight="true" outlineLevel="0" collapsed="false">
      <c r="A6" s="6" t="s">
        <v>5</v>
      </c>
      <c r="B6" s="7" t="n">
        <v>0.1</v>
      </c>
    </row>
    <row r="7" customFormat="false" ht="15" hidden="false" customHeight="true" outlineLevel="0" collapsed="false">
      <c r="A7" s="6" t="s">
        <v>6</v>
      </c>
      <c r="B7" s="8" t="n">
        <f aca="false">(1+B5)*(1+B6)-1</f>
        <v>0.15104</v>
      </c>
    </row>
    <row r="8" customFormat="false" ht="15" hidden="false" customHeight="true" outlineLevel="0" collapsed="false">
      <c r="A8" s="6" t="s">
        <v>7</v>
      </c>
      <c r="B8" s="9" t="n">
        <v>46235</v>
      </c>
    </row>
    <row r="9" customFormat="false" ht="15" hidden="false" customHeight="true" outlineLevel="0" collapsed="false">
      <c r="A9" s="6" t="s">
        <v>8</v>
      </c>
      <c r="B9" s="10" t="n">
        <v>4</v>
      </c>
    </row>
    <row r="10" customFormat="false" ht="15" hidden="false" customHeight="true" outlineLevel="0" collapsed="false">
      <c r="A10" s="6" t="s">
        <v>9</v>
      </c>
      <c r="B10" s="10" t="n">
        <v>2</v>
      </c>
    </row>
    <row r="11" customFormat="false" ht="15" hidden="false" customHeight="true" outlineLevel="0" collapsed="false">
      <c r="A11" s="6" t="s">
        <v>10</v>
      </c>
      <c r="B11" s="10" t="n">
        <v>10</v>
      </c>
    </row>
    <row r="12" customFormat="false" ht="15" hidden="false" customHeight="true" outlineLevel="0" collapsed="false">
      <c r="A12" s="6" t="s">
        <v>11</v>
      </c>
      <c r="B12" s="11" t="n">
        <f aca="false">B10+B11</f>
        <v>12</v>
      </c>
    </row>
    <row r="13" customFormat="false" ht="15" hidden="false" customHeight="true" outlineLevel="0" collapsed="false">
      <c r="A13" s="6" t="s">
        <v>12</v>
      </c>
      <c r="B13" s="6" t="s">
        <v>13</v>
      </c>
    </row>
    <row r="15" customFormat="false" ht="15" hidden="false" customHeight="true" outlineLevel="0" collapsed="false">
      <c r="A15" s="4" t="s">
        <v>14</v>
      </c>
      <c r="B15" s="5"/>
      <c r="C15" s="5"/>
    </row>
    <row r="16" customFormat="false" ht="15" hidden="false" customHeight="true" outlineLevel="0" collapsed="false">
      <c r="A16" s="6" t="s">
        <v>15</v>
      </c>
      <c r="B16" s="12" t="n">
        <v>11000000</v>
      </c>
      <c r="C16" s="3" t="s">
        <v>16</v>
      </c>
    </row>
    <row r="17" customFormat="false" ht="15" hidden="false" customHeight="true" outlineLevel="0" collapsed="false">
      <c r="A17" s="6" t="s">
        <v>17</v>
      </c>
      <c r="B17" s="12" t="n">
        <v>4500000</v>
      </c>
      <c r="C17" s="3" t="s">
        <v>18</v>
      </c>
    </row>
    <row r="18" customFormat="false" ht="15" hidden="false" customHeight="true" outlineLevel="0" collapsed="false">
      <c r="A18" s="13" t="s">
        <v>19</v>
      </c>
      <c r="B18" s="14" t="n">
        <f aca="false">SUM(B16:B17)</f>
        <v>15500000</v>
      </c>
      <c r="C18" s="3" t="s">
        <v>16</v>
      </c>
    </row>
    <row r="19" customFormat="false" ht="15" hidden="false" customHeight="true" outlineLevel="0" collapsed="false">
      <c r="A19" s="6"/>
      <c r="B19" s="12"/>
    </row>
    <row r="20" customFormat="false" ht="15" hidden="false" customHeight="true" outlineLevel="0" collapsed="false">
      <c r="A20" s="4" t="s">
        <v>20</v>
      </c>
      <c r="B20" s="5"/>
      <c r="C20" s="5"/>
    </row>
    <row r="21" customFormat="false" ht="15" hidden="false" customHeight="true" outlineLevel="0" collapsed="false">
      <c r="A21" s="6" t="s">
        <v>21</v>
      </c>
      <c r="B21" s="12" t="n">
        <v>10752000</v>
      </c>
    </row>
    <row r="22" customFormat="false" ht="15" hidden="false" customHeight="true" outlineLevel="0" collapsed="false">
      <c r="A22" s="6" t="s">
        <v>22</v>
      </c>
      <c r="B22" s="12" t="n">
        <v>20160000</v>
      </c>
    </row>
    <row r="23" customFormat="false" ht="15" hidden="false" customHeight="true" outlineLevel="0" collapsed="false">
      <c r="A23" s="15" t="s">
        <v>23</v>
      </c>
      <c r="B23" s="16" t="n">
        <f aca="false">SUM(B21:B22)</f>
        <v>30912000</v>
      </c>
    </row>
    <row r="25" customFormat="false" ht="15" hidden="false" customHeight="true" outlineLevel="0" collapsed="false">
      <c r="A25" s="4" t="s">
        <v>24</v>
      </c>
      <c r="B25" s="5"/>
      <c r="C25" s="5"/>
    </row>
    <row r="26" customFormat="false" ht="15" hidden="false" customHeight="true" outlineLevel="0" collapsed="false">
      <c r="A26" s="6" t="s">
        <v>25</v>
      </c>
      <c r="B26" s="12" t="n">
        <v>3597824</v>
      </c>
      <c r="C26" s="3" t="s">
        <v>26</v>
      </c>
    </row>
    <row r="27" customFormat="false" ht="15" hidden="false" customHeight="true" outlineLevel="0" collapsed="false">
      <c r="A27" s="6" t="s">
        <v>27</v>
      </c>
      <c r="B27" s="7" t="n">
        <v>0.25</v>
      </c>
    </row>
    <row r="28" customFormat="false" ht="15" hidden="false" customHeight="true" outlineLevel="0" collapsed="false">
      <c r="A28" s="15" t="s">
        <v>28</v>
      </c>
      <c r="B28" s="16" t="n">
        <f aca="false">B26*(1+B27)</f>
        <v>4497280</v>
      </c>
    </row>
    <row r="30" customFormat="false" ht="15" hidden="false" customHeight="true" outlineLevel="0" collapsed="false">
      <c r="A30" s="4" t="s">
        <v>29</v>
      </c>
      <c r="B30" s="5"/>
      <c r="C30" s="5"/>
    </row>
    <row r="31" customFormat="false" ht="15" hidden="false" customHeight="true" outlineLevel="0" collapsed="false">
      <c r="A31" s="6" t="s">
        <v>30</v>
      </c>
      <c r="B31" s="14" t="n">
        <f aca="false">B18+B23</f>
        <v>46412000</v>
      </c>
    </row>
    <row r="32" customFormat="false" ht="15" hidden="false" customHeight="true" outlineLevel="0" collapsed="false">
      <c r="A32" s="6" t="s">
        <v>31</v>
      </c>
      <c r="B32" s="14" t="n">
        <f aca="false">B31+B28</f>
        <v>50909280</v>
      </c>
    </row>
    <row r="33" customFormat="false" ht="15" hidden="false" customHeight="true" outlineLevel="0" collapsed="false">
      <c r="A33" s="6" t="s">
        <v>32</v>
      </c>
      <c r="B33" s="7" t="n">
        <v>0.03</v>
      </c>
      <c r="C33" s="3" t="s">
        <v>33</v>
      </c>
    </row>
    <row r="34" customFormat="false" ht="15" hidden="false" customHeight="true" outlineLevel="0" collapsed="false">
      <c r="A34" s="6" t="s">
        <v>34</v>
      </c>
      <c r="B34" s="17" t="n">
        <f aca="false">B32*B33</f>
        <v>1527278.4</v>
      </c>
    </row>
    <row r="35" customFormat="false" ht="15" hidden="false" customHeight="true" outlineLevel="0" collapsed="false">
      <c r="A35" s="18" t="s">
        <v>35</v>
      </c>
      <c r="B35" s="19" t="n">
        <f aca="false">B32+B34</f>
        <v>52436558.4</v>
      </c>
    </row>
    <row r="37" customFormat="false" ht="15" hidden="false" customHeight="true" outlineLevel="0" collapsed="false">
      <c r="A37" s="4" t="s">
        <v>36</v>
      </c>
      <c r="B37" s="5"/>
      <c r="C37" s="5"/>
    </row>
    <row r="38" customFormat="false" ht="15" hidden="false" customHeight="true" outlineLevel="0" collapsed="false">
      <c r="A38" s="6" t="s">
        <v>37</v>
      </c>
      <c r="B38" s="12" t="n">
        <v>8100000</v>
      </c>
      <c r="C38" s="3" t="s">
        <v>38</v>
      </c>
    </row>
    <row r="39" customFormat="false" ht="45.75" hidden="false" customHeight="true" outlineLevel="0" collapsed="false">
      <c r="A39" s="20" t="s">
        <v>39</v>
      </c>
      <c r="B39" s="20"/>
      <c r="C39" s="20"/>
    </row>
  </sheetData>
  <mergeCells count="1">
    <mergeCell ref="A39:C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8"/>
    <col collapsed="false" customWidth="true" hidden="false" outlineLevel="0" max="2" min="2" style="1" width="18"/>
    <col collapsed="false" customWidth="true" hidden="false" outlineLevel="0" max="3" min="3" style="1" width="12"/>
  </cols>
  <sheetData>
    <row r="1" customFormat="false" ht="15.75" hidden="false" customHeight="true" outlineLevel="0" collapsed="false">
      <c r="A1" s="2" t="s">
        <v>40</v>
      </c>
    </row>
    <row r="3" customFormat="false" ht="15" hidden="false" customHeight="true" outlineLevel="0" collapsed="false">
      <c r="A3" s="21" t="s">
        <v>41</v>
      </c>
      <c r="B3" s="21" t="s">
        <v>42</v>
      </c>
      <c r="C3" s="21" t="s">
        <v>43</v>
      </c>
    </row>
    <row r="4" customFormat="false" ht="15" hidden="false" customHeight="true" outlineLevel="0" collapsed="false">
      <c r="A4" s="4" t="s">
        <v>44</v>
      </c>
      <c r="B4" s="5"/>
      <c r="C4" s="5"/>
    </row>
    <row r="5" customFormat="false" ht="15" hidden="false" customHeight="true" outlineLevel="0" collapsed="false">
      <c r="A5" s="6" t="s">
        <v>15</v>
      </c>
      <c r="B5" s="22" t="n">
        <f aca="false">Premissas!B16</f>
        <v>11000000</v>
      </c>
      <c r="C5" s="23" t="n">
        <f aca="false">B5/$B$11</f>
        <v>0.209777306818824</v>
      </c>
    </row>
    <row r="6" customFormat="false" ht="15" hidden="false" customHeight="true" outlineLevel="0" collapsed="false">
      <c r="A6" s="6" t="s">
        <v>17</v>
      </c>
      <c r="B6" s="22" t="n">
        <f aca="false">Premissas!B17</f>
        <v>4500000</v>
      </c>
      <c r="C6" s="23" t="n">
        <f aca="false">B6/$B$11</f>
        <v>0.0858179891531554</v>
      </c>
    </row>
    <row r="7" customFormat="false" ht="15" hidden="false" customHeight="true" outlineLevel="0" collapsed="false">
      <c r="A7" s="6" t="s">
        <v>21</v>
      </c>
      <c r="B7" s="22" t="n">
        <f aca="false">Premissas!B21</f>
        <v>10752000</v>
      </c>
      <c r="C7" s="23" t="n">
        <f aca="false">B7/$B$11</f>
        <v>0.205047782083273</v>
      </c>
    </row>
    <row r="8" customFormat="false" ht="15" hidden="false" customHeight="true" outlineLevel="0" collapsed="false">
      <c r="A8" s="6" t="s">
        <v>22</v>
      </c>
      <c r="B8" s="22" t="n">
        <f aca="false">Premissas!B22</f>
        <v>20160000</v>
      </c>
      <c r="C8" s="23" t="n">
        <f aca="false">B8/$B$11</f>
        <v>0.384464591406136</v>
      </c>
    </row>
    <row r="9" customFormat="false" ht="15" hidden="false" customHeight="true" outlineLevel="0" collapsed="false">
      <c r="A9" s="6" t="s">
        <v>45</v>
      </c>
      <c r="B9" s="22" t="n">
        <f aca="false">Premissas!B28</f>
        <v>4497280</v>
      </c>
      <c r="C9" s="23" t="n">
        <f aca="false">B9/$B$11</f>
        <v>0.0857661169463784</v>
      </c>
    </row>
    <row r="10" customFormat="false" ht="15" hidden="false" customHeight="true" outlineLevel="0" collapsed="false">
      <c r="A10" s="6" t="s">
        <v>46</v>
      </c>
      <c r="B10" s="22" t="n">
        <f aca="false">Premissas!B34</f>
        <v>1527278.4</v>
      </c>
      <c r="C10" s="23" t="n">
        <f aca="false">B10/$B$11</f>
        <v>0.029126213592233</v>
      </c>
    </row>
    <row r="11" customFormat="false" ht="15" hidden="false" customHeight="true" outlineLevel="0" collapsed="false">
      <c r="A11" s="24" t="s">
        <v>47</v>
      </c>
      <c r="B11" s="25" t="n">
        <f aca="false">SUM(B5:B10)</f>
        <v>52436558.4</v>
      </c>
      <c r="C11" s="26"/>
    </row>
    <row r="13" customFormat="false" ht="15" hidden="false" customHeight="true" outlineLevel="0" collapsed="false">
      <c r="A13" s="4" t="s">
        <v>48</v>
      </c>
      <c r="B13" s="5"/>
      <c r="C13" s="5"/>
    </row>
    <row r="14" customFormat="false" ht="15" hidden="false" customHeight="true" outlineLevel="0" collapsed="false">
      <c r="A14" s="27" t="s">
        <v>49</v>
      </c>
      <c r="B14" s="28" t="n">
        <f aca="false">Premissas!B35</f>
        <v>52436558.4</v>
      </c>
      <c r="C14" s="29" t="n">
        <f aca="false">B14/$B$15</f>
        <v>1</v>
      </c>
    </row>
    <row r="15" customFormat="false" ht="15" hidden="false" customHeight="true" outlineLevel="0" collapsed="false">
      <c r="A15" s="24" t="s">
        <v>50</v>
      </c>
      <c r="B15" s="25" t="n">
        <f aca="false">SUM(B14)</f>
        <v>52436558.4</v>
      </c>
      <c r="C15" s="26"/>
    </row>
    <row r="17" customFormat="false" ht="15" hidden="false" customHeight="true" outlineLevel="0" collapsed="false">
      <c r="A17" s="15" t="s">
        <v>51</v>
      </c>
      <c r="B17" s="16" t="n">
        <f aca="false">B15-B11</f>
        <v>0</v>
      </c>
    </row>
    <row r="19" customFormat="false" ht="27.75" hidden="false" customHeight="true" outlineLevel="0" collapsed="false">
      <c r="A19" s="20" t="s">
        <v>52</v>
      </c>
      <c r="B19" s="20"/>
      <c r="C19" s="20"/>
    </row>
  </sheetData>
  <mergeCells count="1">
    <mergeCell ref="A19:C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8" min="2" style="1" width="15"/>
    <col collapsed="false" customWidth="true" hidden="false" outlineLevel="0" max="12" min="9" style="1" width="13"/>
  </cols>
  <sheetData>
    <row r="1" customFormat="false" ht="15.75" hidden="false" customHeight="true" outlineLevel="0" collapsed="false">
      <c r="A1" s="2" t="s">
        <v>53</v>
      </c>
    </row>
    <row r="2" customFormat="false" ht="31.5" hidden="false" customHeight="true" outlineLevel="0" collapsed="false">
      <c r="A2" s="21" t="s">
        <v>54</v>
      </c>
      <c r="B2" s="21" t="s">
        <v>55</v>
      </c>
      <c r="C2" s="21" t="s">
        <v>56</v>
      </c>
      <c r="D2" s="21" t="s">
        <v>57</v>
      </c>
      <c r="E2" s="21" t="s">
        <v>58</v>
      </c>
      <c r="F2" s="21" t="s">
        <v>59</v>
      </c>
      <c r="G2" s="21" t="s">
        <v>60</v>
      </c>
      <c r="H2" s="21" t="s">
        <v>61</v>
      </c>
      <c r="I2" s="21" t="s">
        <v>62</v>
      </c>
      <c r="J2" s="21" t="s">
        <v>63</v>
      </c>
      <c r="K2" s="21" t="s">
        <v>64</v>
      </c>
      <c r="L2" s="21" t="s">
        <v>65</v>
      </c>
    </row>
    <row r="3" customFormat="false" ht="15" hidden="false" customHeight="true" outlineLevel="0" collapsed="false">
      <c r="A3" s="30" t="n">
        <v>2026</v>
      </c>
      <c r="B3" s="17" t="n">
        <f aca="false">Premissas!$B$18</f>
        <v>15500000</v>
      </c>
      <c r="C3" s="17" t="n">
        <v>0</v>
      </c>
      <c r="D3" s="17" t="n">
        <f aca="false">B3*Premissas!$B$7*Premissas!$B$9/12</f>
        <v>780373.333333334</v>
      </c>
      <c r="E3" s="17" t="n">
        <f aca="false">IF(0&gt;=2,MIN(Premissas!$B$18/Premissas!$B$11,B3),0)</f>
        <v>0</v>
      </c>
      <c r="F3" s="17" t="n">
        <f aca="false">IF(0&gt;=3,MIN(Premissas!$B$23/Premissas!$B$11,C3),0)</f>
        <v>0</v>
      </c>
      <c r="G3" s="17" t="n">
        <f aca="false">D3+E3+F3</f>
        <v>780373.333333334</v>
      </c>
      <c r="H3" s="12" t="n">
        <v>2665437.24</v>
      </c>
      <c r="I3" s="31" t="n">
        <f aca="false">IF(G3=0,"-",H3/G3)</f>
        <v>3.41559241730454</v>
      </c>
      <c r="J3" s="17" t="n">
        <f aca="false">IF(G3=0,0,MIN(MAX(0,G3*1.2-H3),Premissas!$B$28))</f>
        <v>0</v>
      </c>
      <c r="K3" s="17" t="n">
        <f aca="false">Premissas!$B$28-J3</f>
        <v>4497280</v>
      </c>
      <c r="L3" s="32" t="n">
        <f aca="false">IF(G3=0,"-",(H3+J3)/G3)</f>
        <v>3.41559241730454</v>
      </c>
    </row>
    <row r="4" customFormat="false" ht="15" hidden="false" customHeight="true" outlineLevel="0" collapsed="false">
      <c r="A4" s="30" t="n">
        <v>2027</v>
      </c>
      <c r="B4" s="17" t="n">
        <f aca="false">B3-E3</f>
        <v>15500000</v>
      </c>
      <c r="C4" s="17" t="n">
        <f aca="false">Premissas!$B$23</f>
        <v>30912000</v>
      </c>
      <c r="D4" s="17" t="n">
        <f aca="false">(B4+C4)*Premissas!$B$7</f>
        <v>7010068.48</v>
      </c>
      <c r="E4" s="17" t="n">
        <f aca="false">IF(1&gt;=2,MIN(Premissas!$B$18/Premissas!$B$11,B4),0)</f>
        <v>0</v>
      </c>
      <c r="F4" s="17" t="n">
        <f aca="false">IF(1&gt;=3,MIN(Premissas!$B$23/Premissas!$B$11,C4),0)</f>
        <v>0</v>
      </c>
      <c r="G4" s="17" t="n">
        <f aca="false">D4+E4+F4</f>
        <v>7010068.48</v>
      </c>
      <c r="H4" s="12" t="n">
        <v>10845133.27</v>
      </c>
      <c r="I4" s="31" t="n">
        <f aca="false">IF(G4=0,"-",H4/G4)</f>
        <v>1.54707950442162</v>
      </c>
      <c r="J4" s="17" t="n">
        <f aca="false">IF(G4=0,0,MIN(MAX(0,G4*1.2-H4),K3))</f>
        <v>0</v>
      </c>
      <c r="K4" s="17" t="n">
        <f aca="false">K3-J4</f>
        <v>4497280</v>
      </c>
      <c r="L4" s="32" t="n">
        <f aca="false">IF(G4=0,"-",(H4+J4)/G4)</f>
        <v>1.54707950442162</v>
      </c>
    </row>
    <row r="5" customFormat="false" ht="15" hidden="false" customHeight="true" outlineLevel="0" collapsed="false">
      <c r="A5" s="30" t="n">
        <v>2028</v>
      </c>
      <c r="B5" s="17" t="n">
        <f aca="false">B4-E4</f>
        <v>15500000</v>
      </c>
      <c r="C5" s="17" t="n">
        <f aca="false">C4-F4</f>
        <v>30912000</v>
      </c>
      <c r="D5" s="17" t="n">
        <f aca="false">(B5+C5)*Premissas!$B$7</f>
        <v>7010068.48</v>
      </c>
      <c r="E5" s="17" t="n">
        <f aca="false">IF(2&gt;=2,MIN(Premissas!$B$18/Premissas!$B$11,B5),0)</f>
        <v>1550000</v>
      </c>
      <c r="F5" s="17" t="n">
        <f aca="false">IF(2&gt;=3,MIN(Premissas!$B$23/Premissas!$B$11,C5),0)</f>
        <v>0</v>
      </c>
      <c r="G5" s="17" t="n">
        <f aca="false">D5+E5+F5</f>
        <v>8560068.48</v>
      </c>
      <c r="H5" s="12" t="n">
        <v>11391163.81</v>
      </c>
      <c r="I5" s="31" t="n">
        <f aca="false">IF(G5=0,"-",H5/G5)</f>
        <v>1.33073278988534</v>
      </c>
      <c r="J5" s="17" t="n">
        <f aca="false">IF(G5=0,0,MIN(MAX(0,G5*1.2-H5),K4))</f>
        <v>0</v>
      </c>
      <c r="K5" s="17" t="n">
        <f aca="false">K4-J5</f>
        <v>4497280</v>
      </c>
      <c r="L5" s="32" t="n">
        <f aca="false">IF(G5=0,"-",(H5+J5)/G5)</f>
        <v>1.33073278988534</v>
      </c>
    </row>
    <row r="6" customFormat="false" ht="15" hidden="false" customHeight="true" outlineLevel="0" collapsed="false">
      <c r="A6" s="30" t="n">
        <v>2029</v>
      </c>
      <c r="B6" s="17" t="n">
        <f aca="false">B5-E5</f>
        <v>13950000</v>
      </c>
      <c r="C6" s="17" t="n">
        <f aca="false">C5-F5</f>
        <v>30912000</v>
      </c>
      <c r="D6" s="17" t="n">
        <f aca="false">(B6+C6)*Premissas!$B$7</f>
        <v>6775956.48</v>
      </c>
      <c r="E6" s="17" t="n">
        <f aca="false">IF(3&gt;=2,MIN(Premissas!$B$18/Premissas!$B$11,B6),0)</f>
        <v>1550000</v>
      </c>
      <c r="F6" s="17" t="n">
        <f aca="false">IF(3&gt;=3,MIN(Premissas!$B$23/Premissas!$B$11,C6),0)</f>
        <v>3091200</v>
      </c>
      <c r="G6" s="17" t="n">
        <f aca="false">D6+E6+F6</f>
        <v>11417156.48</v>
      </c>
      <c r="H6" s="12" t="n">
        <v>11964757.29</v>
      </c>
      <c r="I6" s="31" t="n">
        <f aca="false">IF(G6=0,"-",H6/G6)</f>
        <v>1.04796297667981</v>
      </c>
      <c r="J6" s="17" t="n">
        <f aca="false">IF(G6=0,0,MIN(MAX(0,G6*1.2-H6),K5))</f>
        <v>1735830.48600001</v>
      </c>
      <c r="K6" s="17" t="n">
        <f aca="false">K5-J6</f>
        <v>2761449.514</v>
      </c>
      <c r="L6" s="32" t="n">
        <f aca="false">IF(G6=0,"-",(H6+J6)/G6)</f>
        <v>1.2</v>
      </c>
    </row>
    <row r="7" customFormat="false" ht="15" hidden="false" customHeight="true" outlineLevel="0" collapsed="false">
      <c r="A7" s="30" t="n">
        <v>2030</v>
      </c>
      <c r="B7" s="17" t="n">
        <f aca="false">B6-E6</f>
        <v>12400000</v>
      </c>
      <c r="C7" s="17" t="n">
        <f aca="false">C6-F6</f>
        <v>27820800</v>
      </c>
      <c r="D7" s="17" t="n">
        <f aca="false">(B7+C7)*Premissas!$B$7</f>
        <v>6074949.632</v>
      </c>
      <c r="E7" s="17" t="n">
        <f aca="false">IF(4&gt;=2,MIN(Premissas!$B$18/Premissas!$B$11,B7),0)</f>
        <v>1550000</v>
      </c>
      <c r="F7" s="17" t="n">
        <f aca="false">IF(4&gt;=3,MIN(Premissas!$B$23/Premissas!$B$11,C7),0)</f>
        <v>3091200</v>
      </c>
      <c r="G7" s="17" t="n">
        <f aca="false">D7+E7+F7</f>
        <v>10716149.632</v>
      </c>
      <c r="H7" s="12" t="n">
        <v>12567308.72</v>
      </c>
      <c r="I7" s="31" t="n">
        <f aca="false">IF(G7=0,"-",H7/G7)</f>
        <v>1.17274479655194</v>
      </c>
      <c r="J7" s="17" t="n">
        <f aca="false">IF(G7=0,0,MIN(MAX(0,G7*1.2-H7),K6))</f>
        <v>292070.838400003</v>
      </c>
      <c r="K7" s="17" t="n">
        <f aca="false">K6-J7</f>
        <v>2469378.67559999</v>
      </c>
      <c r="L7" s="32" t="n">
        <f aca="false">IF(G7=0,"-",(H7+J7)/G7)</f>
        <v>1.2</v>
      </c>
    </row>
    <row r="8" customFormat="false" ht="15" hidden="false" customHeight="true" outlineLevel="0" collapsed="false">
      <c r="A8" s="30" t="n">
        <v>2031</v>
      </c>
      <c r="B8" s="17" t="n">
        <f aca="false">B7-E7</f>
        <v>10850000</v>
      </c>
      <c r="C8" s="17" t="n">
        <f aca="false">C7-F7</f>
        <v>24729600</v>
      </c>
      <c r="D8" s="17" t="n">
        <f aca="false">(B8+C8)*Premissas!$B$7</f>
        <v>5373942.784</v>
      </c>
      <c r="E8" s="17" t="n">
        <f aca="false">IF(5&gt;=2,MIN(Premissas!$B$18/Premissas!$B$11,B8),0)</f>
        <v>1550000</v>
      </c>
      <c r="F8" s="17" t="n">
        <f aca="false">IF(5&gt;=3,MIN(Premissas!$B$23/Premissas!$B$11,C8),0)</f>
        <v>3091200</v>
      </c>
      <c r="G8" s="17" t="n">
        <f aca="false">D8+E8+F8</f>
        <v>10015142.784</v>
      </c>
      <c r="H8" s="12" t="n">
        <v>13200283.87</v>
      </c>
      <c r="I8" s="31" t="n">
        <f aca="false">IF(G8=0,"-",H8/G8)</f>
        <v>1.31803251882624</v>
      </c>
      <c r="J8" s="17" t="n">
        <f aca="false">IF(G8=0,0,MIN(MAX(0,G8*1.2-H8),K7))</f>
        <v>0</v>
      </c>
      <c r="K8" s="17" t="n">
        <f aca="false">K7-J8</f>
        <v>2469378.67559999</v>
      </c>
      <c r="L8" s="32" t="n">
        <f aca="false">IF(G8=0,"-",(H8+J8)/G8)</f>
        <v>1.31803251882624</v>
      </c>
    </row>
    <row r="9" customFormat="false" ht="15" hidden="false" customHeight="true" outlineLevel="0" collapsed="false">
      <c r="A9" s="30" t="n">
        <v>2032</v>
      </c>
      <c r="B9" s="17" t="n">
        <f aca="false">B8-E8</f>
        <v>9300000</v>
      </c>
      <c r="C9" s="17" t="n">
        <f aca="false">C8-F8</f>
        <v>21638400</v>
      </c>
      <c r="D9" s="17" t="n">
        <f aca="false">(B9+C9)*Premissas!$B$7</f>
        <v>4672935.936</v>
      </c>
      <c r="E9" s="17" t="n">
        <f aca="false">IF(6&gt;=2,MIN(Premissas!$B$18/Premissas!$B$11,B9),0)</f>
        <v>1550000</v>
      </c>
      <c r="F9" s="17" t="n">
        <f aca="false">IF(6&gt;=3,MIN(Premissas!$B$23/Premissas!$B$11,C9),0)</f>
        <v>3091200</v>
      </c>
      <c r="G9" s="17" t="n">
        <f aca="false">D9+E9+F9</f>
        <v>9314135.936</v>
      </c>
      <c r="H9" s="12" t="n">
        <v>13865222.92</v>
      </c>
      <c r="I9" s="31" t="n">
        <f aca="false">IF(G9=0,"-",H9/G9)</f>
        <v>1.48862149052492</v>
      </c>
      <c r="J9" s="17" t="n">
        <f aca="false">IF(G9=0,0,MIN(MAX(0,G9*1.2-H9),K8))</f>
        <v>0</v>
      </c>
      <c r="K9" s="17" t="n">
        <f aca="false">K8-J9</f>
        <v>2469378.67559999</v>
      </c>
      <c r="L9" s="32" t="n">
        <f aca="false">IF(G9=0,"-",(H9+J9)/G9)</f>
        <v>1.48862149052492</v>
      </c>
    </row>
    <row r="10" customFormat="false" ht="15" hidden="false" customHeight="true" outlineLevel="0" collapsed="false">
      <c r="A10" s="30" t="n">
        <v>2033</v>
      </c>
      <c r="B10" s="17" t="n">
        <f aca="false">B9-E9</f>
        <v>7750000</v>
      </c>
      <c r="C10" s="17" t="n">
        <f aca="false">C9-F9</f>
        <v>18547200</v>
      </c>
      <c r="D10" s="17" t="n">
        <f aca="false">(B10+C10)*Premissas!$B$7</f>
        <v>3971929.088</v>
      </c>
      <c r="E10" s="17" t="n">
        <f aca="false">IF(7&gt;=2,MIN(Premissas!$B$18/Premissas!$B$11,B10),0)</f>
        <v>1550000</v>
      </c>
      <c r="F10" s="17" t="n">
        <f aca="false">IF(7&gt;=3,MIN(Premissas!$B$23/Premissas!$B$11,C10),0)</f>
        <v>3091200</v>
      </c>
      <c r="G10" s="17" t="n">
        <f aca="false">D10+E10+F10</f>
        <v>8613129.088</v>
      </c>
      <c r="H10" s="12" t="n">
        <v>14563744.21</v>
      </c>
      <c r="I10" s="31" t="n">
        <f aca="false">IF(G10=0,"-",H10/G10)</f>
        <v>1.69087727133807</v>
      </c>
      <c r="J10" s="17" t="n">
        <f aca="false">IF(G10=0,0,MIN(MAX(0,G10*1.2-H10),K9))</f>
        <v>0</v>
      </c>
      <c r="K10" s="17" t="n">
        <f aca="false">K9-J10</f>
        <v>2469378.67559999</v>
      </c>
      <c r="L10" s="32" t="n">
        <f aca="false">IF(G10=0,"-",(H10+J10)/G10)</f>
        <v>1.69087727133807</v>
      </c>
    </row>
    <row r="11" customFormat="false" ht="15" hidden="false" customHeight="true" outlineLevel="0" collapsed="false">
      <c r="A11" s="30" t="n">
        <v>2034</v>
      </c>
      <c r="B11" s="17" t="n">
        <f aca="false">B10-E10</f>
        <v>6200000</v>
      </c>
      <c r="C11" s="17" t="n">
        <f aca="false">C10-F10</f>
        <v>15456000</v>
      </c>
      <c r="D11" s="17" t="n">
        <f aca="false">(B11+C11)*Premissas!$B$7</f>
        <v>3270922.24</v>
      </c>
      <c r="E11" s="17" t="n">
        <f aca="false">IF(8&gt;=2,MIN(Premissas!$B$18/Premissas!$B$11,B11),0)</f>
        <v>1550000</v>
      </c>
      <c r="F11" s="17" t="n">
        <f aca="false">IF(8&gt;=3,MIN(Premissas!$B$23/Premissas!$B$11,C11),0)</f>
        <v>3091200</v>
      </c>
      <c r="G11" s="17" t="n">
        <f aca="false">D11+E11+F11</f>
        <v>7912122.24</v>
      </c>
      <c r="H11" s="12" t="n">
        <v>15297548.27</v>
      </c>
      <c r="I11" s="31" t="n">
        <f aca="false">IF(G11=0,"-",H11/G11)</f>
        <v>1.9334317400536</v>
      </c>
      <c r="J11" s="17" t="n">
        <f aca="false">IF(G11=0,0,MIN(MAX(0,G11*1.2-H11),K10))</f>
        <v>0</v>
      </c>
      <c r="K11" s="17" t="n">
        <f aca="false">K10-J11</f>
        <v>2469378.67559999</v>
      </c>
      <c r="L11" s="32" t="n">
        <f aca="false">IF(G11=0,"-",(H11+J11)/G11)</f>
        <v>1.9334317400536</v>
      </c>
    </row>
    <row r="12" customFormat="false" ht="15" hidden="false" customHeight="true" outlineLevel="0" collapsed="false">
      <c r="A12" s="30" t="n">
        <v>2035</v>
      </c>
      <c r="B12" s="17" t="n">
        <f aca="false">B11-E11</f>
        <v>4650000</v>
      </c>
      <c r="C12" s="17" t="n">
        <f aca="false">C11-F11</f>
        <v>12364800</v>
      </c>
      <c r="D12" s="17" t="n">
        <f aca="false">(B12+C12)*Premissas!$B$7</f>
        <v>2569915.392</v>
      </c>
      <c r="E12" s="17" t="n">
        <f aca="false">IF(9&gt;=2,MIN(Premissas!$B$18/Premissas!$B$11,B12),0)</f>
        <v>1550000</v>
      </c>
      <c r="F12" s="17" t="n">
        <f aca="false">IF(9&gt;=3,MIN(Premissas!$B$23/Premissas!$B$11,C12),0)</f>
        <v>3091200</v>
      </c>
      <c r="G12" s="17" t="n">
        <f aca="false">D12+E12+F12</f>
        <v>7211115.392</v>
      </c>
      <c r="H12" s="12" t="n">
        <v>16068421.92</v>
      </c>
      <c r="I12" s="31" t="n">
        <f aca="false">IF(G12=0,"-",H12/G12)</f>
        <v>2.22828523002506</v>
      </c>
      <c r="J12" s="17" t="n">
        <f aca="false">IF(G12=0,0,MIN(MAX(0,G12*1.2-H12),K11))</f>
        <v>0</v>
      </c>
      <c r="K12" s="17" t="n">
        <f aca="false">K11-J12</f>
        <v>2469378.67559999</v>
      </c>
      <c r="L12" s="32" t="n">
        <f aca="false">IF(G12=0,"-",(H12+J12)/G12)</f>
        <v>2.22828523002506</v>
      </c>
    </row>
    <row r="13" customFormat="false" ht="15" hidden="false" customHeight="true" outlineLevel="0" collapsed="false">
      <c r="A13" s="30" t="n">
        <v>2036</v>
      </c>
      <c r="B13" s="17" t="n">
        <f aca="false">B12-E12</f>
        <v>3100000</v>
      </c>
      <c r="C13" s="17" t="n">
        <f aca="false">C12-F12</f>
        <v>9273600</v>
      </c>
      <c r="D13" s="17" t="n">
        <f aca="false">(B13+C13)*Premissas!$B$7</f>
        <v>1868908.544</v>
      </c>
      <c r="E13" s="17" t="n">
        <f aca="false">IF(10&gt;=2,MIN(Premissas!$B$18/Premissas!$B$11,B13),0)</f>
        <v>1550000</v>
      </c>
      <c r="F13" s="17" t="n">
        <f aca="false">IF(10&gt;=3,MIN(Premissas!$B$23/Premissas!$B$11,C13),0)</f>
        <v>3091200</v>
      </c>
      <c r="G13" s="17" t="n">
        <f aca="false">D13+E13+F13</f>
        <v>6510108.544</v>
      </c>
      <c r="H13" s="12" t="n">
        <v>16878242.76</v>
      </c>
      <c r="I13" s="31" t="n">
        <f aca="false">IF(G13=0,"-",H13/G13)</f>
        <v>2.59262079056358</v>
      </c>
      <c r="J13" s="17" t="n">
        <f aca="false">IF(G13=0,0,MIN(MAX(0,G13*1.2-H13),K12))</f>
        <v>0</v>
      </c>
      <c r="K13" s="17" t="n">
        <f aca="false">K12-J13</f>
        <v>2469378.67559999</v>
      </c>
      <c r="L13" s="32" t="n">
        <f aca="false">IF(G13=0,"-",(H13+J13)/G13)</f>
        <v>2.59262079056358</v>
      </c>
    </row>
    <row r="14" customFormat="false" ht="15" hidden="false" customHeight="true" outlineLevel="0" collapsed="false">
      <c r="A14" s="30" t="n">
        <v>2037</v>
      </c>
      <c r="B14" s="17" t="n">
        <f aca="false">B13-E13</f>
        <v>1550000</v>
      </c>
      <c r="C14" s="17" t="n">
        <f aca="false">C13-F13</f>
        <v>6182400</v>
      </c>
      <c r="D14" s="17" t="n">
        <f aca="false">(B14+C14)*Premissas!$B$7</f>
        <v>1167901.696</v>
      </c>
      <c r="E14" s="17" t="n">
        <f aca="false">IF(11&gt;=2,MIN(Premissas!$B$18/Premissas!$B$11,B14),0)</f>
        <v>1550000</v>
      </c>
      <c r="F14" s="17" t="n">
        <f aca="false">IF(11&gt;=3,MIN(Premissas!$B$23/Premissas!$B$11,C14),0)</f>
        <v>3091200</v>
      </c>
      <c r="G14" s="17" t="n">
        <f aca="false">D14+E14+F14</f>
        <v>5809101.696</v>
      </c>
      <c r="H14" s="12" t="n">
        <v>17728983.71</v>
      </c>
      <c r="I14" s="31" t="n">
        <f aca="false">IF(G14=0,"-",H14/G14)</f>
        <v>3.05193206071908</v>
      </c>
      <c r="J14" s="17" t="n">
        <f aca="false">IF(G14=0,0,MIN(MAX(0,G14*1.2-H14),K13))</f>
        <v>0</v>
      </c>
      <c r="K14" s="17" t="n">
        <f aca="false">K13-J14</f>
        <v>2469378.67559999</v>
      </c>
      <c r="L14" s="32" t="n">
        <f aca="false">IF(G14=0,"-",(H14+J14)/G14)</f>
        <v>3.05193206071908</v>
      </c>
    </row>
    <row r="15" customFormat="false" ht="15" hidden="false" customHeight="true" outlineLevel="0" collapsed="false">
      <c r="A15" s="30" t="n">
        <v>2038</v>
      </c>
      <c r="B15" s="17" t="n">
        <f aca="false">B14-E14</f>
        <v>0</v>
      </c>
      <c r="C15" s="17" t="n">
        <f aca="false">C14-F14</f>
        <v>3091200</v>
      </c>
      <c r="D15" s="17" t="n">
        <f aca="false">(B15+C15)*Premissas!$B$7</f>
        <v>466894.848</v>
      </c>
      <c r="E15" s="17" t="n">
        <f aca="false">IF(12&gt;=2,MIN(Premissas!$B$18/Premissas!$B$11,B15),0)</f>
        <v>0</v>
      </c>
      <c r="F15" s="17" t="n">
        <f aca="false">IF(12&gt;=3,MIN(Premissas!$B$23/Premissas!$B$11,C15),0)</f>
        <v>3091200</v>
      </c>
      <c r="G15" s="17" t="n">
        <f aca="false">D15+E15+F15</f>
        <v>3558094.848</v>
      </c>
      <c r="H15" s="12" t="n">
        <v>18622717.91</v>
      </c>
      <c r="I15" s="31" t="n">
        <f aca="false">IF(G15=0,"-",H15/G15)</f>
        <v>5.23390148536029</v>
      </c>
      <c r="J15" s="17" t="n">
        <f aca="false">IF(G15=0,0,MIN(MAX(0,G15*1.2-H15),K14))</f>
        <v>0</v>
      </c>
      <c r="K15" s="17" t="n">
        <f aca="false">K14-J15</f>
        <v>2469378.67559999</v>
      </c>
      <c r="L15" s="32" t="n">
        <f aca="false">IF(G15=0,"-",(H15+J15)/G15)</f>
        <v>5.23390148536029</v>
      </c>
    </row>
    <row r="16" customFormat="false" ht="15" hidden="false" customHeight="true" outlineLevel="0" collapsed="false">
      <c r="A16" s="30" t="n">
        <v>2039</v>
      </c>
      <c r="B16" s="17" t="n">
        <f aca="false">B15-E15</f>
        <v>0</v>
      </c>
      <c r="C16" s="17" t="n">
        <f aca="false">C15-F15</f>
        <v>0</v>
      </c>
      <c r="D16" s="17" t="n">
        <f aca="false">(B16+C16)*Premissas!$B$7</f>
        <v>0</v>
      </c>
      <c r="E16" s="17" t="n">
        <f aca="false">IF(13&gt;=2,MIN(Premissas!$B$18/Premissas!$B$11,B16),0)</f>
        <v>0</v>
      </c>
      <c r="F16" s="17" t="n">
        <f aca="false">IF(13&gt;=3,MIN(Premissas!$B$23/Premissas!$B$11,C16),0)</f>
        <v>0</v>
      </c>
      <c r="G16" s="17" t="n">
        <f aca="false">D16+E16+F16</f>
        <v>0</v>
      </c>
      <c r="H16" s="12" t="n">
        <v>19561623.81</v>
      </c>
      <c r="I16" s="31" t="str">
        <f aca="false">IF(G16=0,"-",H16/G16)</f>
        <v>-</v>
      </c>
      <c r="J16" s="17" t="n">
        <f aca="false">IF(G16=0,0,MIN(MAX(0,G16*1.2-H16),K15))</f>
        <v>0</v>
      </c>
      <c r="K16" s="17" t="n">
        <f aca="false">K15-J16</f>
        <v>2469378.67559999</v>
      </c>
      <c r="L16" s="32" t="str">
        <f aca="false">IF(G16=0,"-",(H16+J16)/G16)</f>
        <v>-</v>
      </c>
    </row>
    <row r="17" customFormat="false" ht="15" hidden="false" customHeight="true" outlineLevel="0" collapsed="false">
      <c r="A17" s="24" t="s">
        <v>66</v>
      </c>
      <c r="B17" s="26"/>
      <c r="C17" s="26"/>
      <c r="D17" s="25" t="n">
        <f aca="false">SUM(D3:D16)</f>
        <v>51014766.9333334</v>
      </c>
      <c r="E17" s="25" t="n">
        <f aca="false">SUM(E3:E16)</f>
        <v>15500000</v>
      </c>
      <c r="F17" s="25" t="n">
        <f aca="false">SUM(F3:F16)</f>
        <v>30912000</v>
      </c>
      <c r="G17" s="25" t="n">
        <f aca="false">SUM(G3:G16)</f>
        <v>97426766.9333334</v>
      </c>
      <c r="H17" s="26"/>
      <c r="I17" s="26"/>
      <c r="J17" s="25" t="n">
        <f aca="false">SUM(J3:J16)</f>
        <v>2027901.32440001</v>
      </c>
      <c r="K17" s="26"/>
      <c r="L17" s="26"/>
    </row>
    <row r="19" customFormat="false" ht="45.75" hidden="false" customHeight="true" outlineLevel="0" collapsed="false">
      <c r="A19" s="20" t="s">
        <v>67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</row>
  </sheetData>
  <mergeCells count="1">
    <mergeCell ref="A19:L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0"/>
    <col collapsed="false" customWidth="true" hidden="false" outlineLevel="0" max="3" min="2" style="1" width="30"/>
  </cols>
  <sheetData>
    <row r="1" customFormat="false" ht="15.75" hidden="false" customHeight="true" outlineLevel="0" collapsed="false">
      <c r="A1" s="2" t="s">
        <v>68</v>
      </c>
    </row>
    <row r="3" customFormat="false" ht="15" hidden="false" customHeight="true" outlineLevel="0" collapsed="false">
      <c r="A3" s="4" t="s">
        <v>69</v>
      </c>
      <c r="B3" s="5"/>
      <c r="C3" s="5"/>
    </row>
    <row r="4" customFormat="false" ht="78" hidden="false" customHeight="true" outlineLevel="0" collapsed="false">
      <c r="A4" s="33" t="s">
        <v>70</v>
      </c>
      <c r="B4" s="33"/>
      <c r="C4" s="33"/>
    </row>
    <row r="6" customFormat="false" ht="15" hidden="false" customHeight="true" outlineLevel="0" collapsed="false">
      <c r="A6" s="4" t="s">
        <v>71</v>
      </c>
      <c r="B6" s="5"/>
      <c r="C6" s="5"/>
    </row>
    <row r="7" customFormat="false" ht="39" hidden="false" customHeight="true" outlineLevel="0" collapsed="false">
      <c r="A7" s="33" t="s">
        <v>72</v>
      </c>
      <c r="B7" s="33"/>
      <c r="C7" s="33"/>
    </row>
    <row r="9" customFormat="false" ht="15" hidden="false" customHeight="true" outlineLevel="0" collapsed="false">
      <c r="A9" s="4" t="s">
        <v>73</v>
      </c>
      <c r="B9" s="5"/>
      <c r="C9" s="5"/>
    </row>
    <row r="10" customFormat="false" ht="51.75" hidden="false" customHeight="true" outlineLevel="0" collapsed="false">
      <c r="A10" s="33" t="s">
        <v>74</v>
      </c>
      <c r="B10" s="33"/>
      <c r="C10" s="33"/>
    </row>
    <row r="12" customFormat="false" ht="15" hidden="false" customHeight="true" outlineLevel="0" collapsed="false">
      <c r="A12" s="4" t="s">
        <v>75</v>
      </c>
      <c r="B12" s="5"/>
      <c r="C12" s="5"/>
    </row>
    <row r="13" customFormat="false" ht="51.75" hidden="false" customHeight="true" outlineLevel="0" collapsed="false">
      <c r="A13" s="33" t="s">
        <v>76</v>
      </c>
      <c r="B13" s="33"/>
      <c r="C13" s="33"/>
    </row>
    <row r="15" customFormat="false" ht="15" hidden="false" customHeight="true" outlineLevel="0" collapsed="false">
      <c r="A15" s="4" t="s">
        <v>77</v>
      </c>
      <c r="B15" s="5"/>
      <c r="C15" s="5"/>
    </row>
    <row r="16" customFormat="false" ht="64.5" hidden="false" customHeight="true" outlineLevel="0" collapsed="false">
      <c r="A16" s="33" t="s">
        <v>78</v>
      </c>
      <c r="B16" s="33"/>
      <c r="C16" s="33"/>
    </row>
    <row r="18" customFormat="false" ht="15" hidden="false" customHeight="true" outlineLevel="0" collapsed="false">
      <c r="A18" s="4" t="s">
        <v>79</v>
      </c>
      <c r="B18" s="5"/>
      <c r="C18" s="5"/>
    </row>
    <row r="19" customFormat="false" ht="78" hidden="false" customHeight="true" outlineLevel="0" collapsed="false">
      <c r="A19" s="33" t="s">
        <v>80</v>
      </c>
      <c r="B19" s="33"/>
      <c r="C19" s="33"/>
    </row>
    <row r="21" customFormat="false" ht="15" hidden="false" customHeight="true" outlineLevel="0" collapsed="false">
      <c r="A21" s="4" t="s">
        <v>81</v>
      </c>
      <c r="B21" s="5"/>
      <c r="C21" s="5"/>
    </row>
    <row r="22" customFormat="false" ht="75.75" hidden="false" customHeight="true" outlineLevel="0" collapsed="false">
      <c r="A22" s="33" t="s">
        <v>82</v>
      </c>
      <c r="B22" s="33"/>
      <c r="C22" s="33"/>
    </row>
    <row r="24" customFormat="false" ht="15" hidden="false" customHeight="true" outlineLevel="0" collapsed="false">
      <c r="A24" s="4" t="s">
        <v>83</v>
      </c>
      <c r="B24" s="5"/>
      <c r="C24" s="5"/>
    </row>
    <row r="25" customFormat="false" ht="78" hidden="false" customHeight="true" outlineLevel="0" collapsed="false">
      <c r="A25" s="33" t="s">
        <v>84</v>
      </c>
      <c r="B25" s="33"/>
      <c r="C25" s="33"/>
    </row>
    <row r="27" customFormat="false" ht="15" hidden="false" customHeight="true" outlineLevel="0" collapsed="false">
      <c r="A27" s="4" t="s">
        <v>85</v>
      </c>
      <c r="B27" s="5"/>
      <c r="C27" s="5"/>
    </row>
    <row r="28" customFormat="false" ht="90.75" hidden="false" customHeight="true" outlineLevel="0" collapsed="false">
      <c r="A28" s="33" t="s">
        <v>86</v>
      </c>
      <c r="B28" s="33"/>
      <c r="C28" s="33"/>
    </row>
  </sheetData>
  <mergeCells count="9">
    <mergeCell ref="A4:C4"/>
    <mergeCell ref="A7:C7"/>
    <mergeCell ref="A10:C10"/>
    <mergeCell ref="A13:C13"/>
    <mergeCell ref="A16:C16"/>
    <mergeCell ref="A19:C19"/>
    <mergeCell ref="A22:C22"/>
    <mergeCell ref="A25:C25"/>
    <mergeCell ref="A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"/>
    <col collapsed="false" customWidth="true" hidden="false" outlineLevel="0" max="5" min="2" style="1" width="15"/>
    <col collapsed="false" customWidth="true" hidden="false" outlineLevel="0" max="8" min="6" style="1" width="17"/>
    <col collapsed="false" customWidth="true" hidden="false" outlineLevel="0" max="11" min="9" style="1" width="14"/>
    <col collapsed="false" customWidth="true" hidden="false" outlineLevel="0" max="12" min="12" style="1" width="17"/>
    <col collapsed="false" customWidth="true" hidden="false" outlineLevel="0" max="13" min="13" style="1" width="10"/>
    <col collapsed="false" customWidth="true" hidden="false" outlineLevel="0" max="14" min="14" style="1" width="15"/>
    <col collapsed="false" customWidth="true" hidden="false" outlineLevel="0" max="15" min="15" style="1" width="3"/>
    <col collapsed="false" customWidth="true" hidden="false" outlineLevel="0" max="16" min="16" style="1" width="13"/>
    <col collapsed="false" customWidth="true" hidden="false" outlineLevel="0" max="17" min="17" style="1" width="16"/>
  </cols>
  <sheetData>
    <row r="1" customFormat="false" ht="15.75" hidden="false" customHeight="true" outlineLevel="0" collapsed="false">
      <c r="A1" s="2" t="s">
        <v>87</v>
      </c>
    </row>
    <row r="2" customFormat="false" ht="33.75" hidden="false" customHeight="true" outlineLevel="0" collapsed="false">
      <c r="A2" s="21" t="s">
        <v>54</v>
      </c>
      <c r="B2" s="21" t="s">
        <v>88</v>
      </c>
      <c r="C2" s="21" t="s">
        <v>89</v>
      </c>
      <c r="D2" s="21" t="s">
        <v>90</v>
      </c>
      <c r="F2" s="21" t="s">
        <v>91</v>
      </c>
      <c r="G2" s="21" t="s">
        <v>92</v>
      </c>
      <c r="H2" s="21" t="s">
        <v>93</v>
      </c>
      <c r="I2" s="21" t="s">
        <v>60</v>
      </c>
      <c r="J2" s="21" t="s">
        <v>63</v>
      </c>
      <c r="K2" s="21" t="s">
        <v>64</v>
      </c>
      <c r="L2" s="21" t="s">
        <v>94</v>
      </c>
      <c r="M2" s="21" t="s">
        <v>95</v>
      </c>
      <c r="N2" s="21" t="s">
        <v>96</v>
      </c>
      <c r="P2" s="21" t="s">
        <v>97</v>
      </c>
      <c r="Q2" s="21" t="s">
        <v>98</v>
      </c>
    </row>
    <row r="3" customFormat="false" ht="15" hidden="false" customHeight="true" outlineLevel="0" collapsed="false">
      <c r="A3" s="34" t="n">
        <v>2026</v>
      </c>
      <c r="B3" s="35" t="n">
        <v>3340565.53</v>
      </c>
      <c r="C3" s="35" t="n">
        <v>0</v>
      </c>
      <c r="D3" s="35" t="n">
        <v>0</v>
      </c>
      <c r="E3" s="36"/>
      <c r="F3" s="36" t="n">
        <f aca="false">SUM(B3:D3)</f>
        <v>3340565.53</v>
      </c>
      <c r="G3" s="35" t="n">
        <v>2968092.47</v>
      </c>
      <c r="H3" s="35" t="n">
        <v>2665437.24</v>
      </c>
      <c r="I3" s="36" t="n">
        <f aca="false">'Cronograma da Dívida'!G3</f>
        <v>780373.333333334</v>
      </c>
      <c r="J3" s="36" t="n">
        <f aca="false">'Cronograma da Dívida'!J3</f>
        <v>0</v>
      </c>
      <c r="K3" s="36" t="n">
        <f aca="false">'Cronograma da Dívida'!K3</f>
        <v>4497280</v>
      </c>
      <c r="L3" s="36" t="n">
        <f aca="false">H3+J3-I3</f>
        <v>1885063.90666667</v>
      </c>
      <c r="M3" s="37" t="n">
        <f aca="false">IF(I3=0,"-",(H3+J3)/I3)</f>
        <v>3.41559241730454</v>
      </c>
      <c r="N3" s="38" t="s">
        <v>99</v>
      </c>
      <c r="P3" s="39" t="n">
        <f aca="false">1/(1+Premissas!$B$7)^(3-3)</f>
        <v>1</v>
      </c>
      <c r="Q3" s="36" t="n">
        <f aca="false">L3*P3</f>
        <v>1885063.90666667</v>
      </c>
    </row>
    <row r="4" customFormat="false" ht="15" hidden="false" customHeight="true" outlineLevel="0" collapsed="false">
      <c r="A4" s="34" t="n">
        <v>2027</v>
      </c>
      <c r="B4" s="35" t="n">
        <v>3514655.84</v>
      </c>
      <c r="C4" s="35" t="n">
        <v>3505280</v>
      </c>
      <c r="D4" s="35" t="n">
        <v>6572160</v>
      </c>
      <c r="E4" s="36"/>
      <c r="F4" s="36" t="n">
        <f aca="false">SUM(B4:D4)</f>
        <v>13592095.84</v>
      </c>
      <c r="G4" s="35" t="n">
        <v>12076577.15</v>
      </c>
      <c r="H4" s="35" t="n">
        <v>10845133.27</v>
      </c>
      <c r="I4" s="36" t="n">
        <f aca="false">'Cronograma da Dívida'!G4</f>
        <v>7010068.48</v>
      </c>
      <c r="J4" s="36" t="n">
        <f aca="false">'Cronograma da Dívida'!J4</f>
        <v>0</v>
      </c>
      <c r="K4" s="36" t="n">
        <f aca="false">'Cronograma da Dívida'!K4</f>
        <v>4497280</v>
      </c>
      <c r="L4" s="36" t="n">
        <f aca="false">H4+J4-I4</f>
        <v>3835064.79</v>
      </c>
      <c r="M4" s="37" t="n">
        <f aca="false">IF(I4=0,"-",(H4+J4)/I4)</f>
        <v>1.54707950442162</v>
      </c>
      <c r="N4" s="38" t="s">
        <v>99</v>
      </c>
      <c r="P4" s="39" t="n">
        <f aca="false">1/(1+Premissas!$B$7)^(4-3)</f>
        <v>0.868779538504309</v>
      </c>
      <c r="Q4" s="36" t="n">
        <f aca="false">L4*P4</f>
        <v>3331825.81839032</v>
      </c>
    </row>
    <row r="5" customFormat="false" ht="15" hidden="false" customHeight="true" outlineLevel="0" collapsed="false">
      <c r="A5" s="40" t="n">
        <v>2028</v>
      </c>
      <c r="B5" s="41" t="n">
        <v>3697889.69</v>
      </c>
      <c r="C5" s="41" t="n">
        <v>3679580.05</v>
      </c>
      <c r="D5" s="41" t="n">
        <v>6898960.66</v>
      </c>
      <c r="E5" s="42"/>
      <c r="F5" s="42" t="n">
        <f aca="false">SUM(B5:D5)</f>
        <v>14276430.4</v>
      </c>
      <c r="G5" s="41" t="n">
        <v>12684608.4</v>
      </c>
      <c r="H5" s="41" t="n">
        <v>11391163.81</v>
      </c>
      <c r="I5" s="42" t="n">
        <f aca="false">'Cronograma da Dívida'!G5</f>
        <v>8560068.48</v>
      </c>
      <c r="J5" s="42" t="n">
        <f aca="false">'Cronograma da Dívida'!J5</f>
        <v>0</v>
      </c>
      <c r="K5" s="42" t="n">
        <f aca="false">'Cronograma da Dívida'!K5</f>
        <v>4497280</v>
      </c>
      <c r="L5" s="42" t="n">
        <f aca="false">H5+J5-I5</f>
        <v>2831095.33</v>
      </c>
      <c r="M5" s="43" t="n">
        <f aca="false">IF(I5=0,"-",(H5+J5)/I5)</f>
        <v>1.33073278988534</v>
      </c>
      <c r="N5" s="44" t="s">
        <v>100</v>
      </c>
      <c r="P5" s="45" t="n">
        <f aca="false">1/(1+Premissas!$B$7)^(5-3)</f>
        <v>0.75477788652376</v>
      </c>
      <c r="Q5" s="42" t="n">
        <f aca="false">L5*P5</f>
        <v>2136848.14972469</v>
      </c>
    </row>
    <row r="6" customFormat="false" ht="15" hidden="false" customHeight="true" outlineLevel="0" collapsed="false">
      <c r="A6" s="40" t="n">
        <v>2029</v>
      </c>
      <c r="B6" s="41" t="n">
        <v>3890750.66</v>
      </c>
      <c r="C6" s="41" t="n">
        <v>3862547.17</v>
      </c>
      <c r="D6" s="41" t="n">
        <v>7242011.47</v>
      </c>
      <c r="E6" s="42"/>
      <c r="F6" s="42" t="n">
        <f aca="false">SUM(B6:D6)</f>
        <v>14995309.3</v>
      </c>
      <c r="G6" s="41" t="n">
        <v>13323332.32</v>
      </c>
      <c r="H6" s="41" t="n">
        <v>11964757.29</v>
      </c>
      <c r="I6" s="42" t="n">
        <f aca="false">'Cronograma da Dívida'!G6</f>
        <v>11417156.48</v>
      </c>
      <c r="J6" s="42" t="n">
        <f aca="false">'Cronograma da Dívida'!J6</f>
        <v>1735830.48600001</v>
      </c>
      <c r="K6" s="42" t="n">
        <f aca="false">'Cronograma da Dívida'!K6</f>
        <v>2761449.514</v>
      </c>
      <c r="L6" s="42" t="n">
        <f aca="false">H6+J6-I6</f>
        <v>2283431.296</v>
      </c>
      <c r="M6" s="43" t="n">
        <f aca="false">IF(I6=0,"-",(H6+J6)/I6)</f>
        <v>1.2</v>
      </c>
      <c r="N6" s="44" t="s">
        <v>100</v>
      </c>
      <c r="P6" s="45" t="n">
        <f aca="false">1/(1+Premissas!$B$7)^(6-3)</f>
        <v>0.65573558392737</v>
      </c>
      <c r="Q6" s="42" t="n">
        <f aca="false">L6*P6</f>
        <v>1497327.15424059</v>
      </c>
    </row>
    <row r="7" customFormat="false" ht="15" hidden="false" customHeight="true" outlineLevel="0" collapsed="false">
      <c r="A7" s="40" t="n">
        <v>2030</v>
      </c>
      <c r="B7" s="41" t="n">
        <v>4093748.09</v>
      </c>
      <c r="C7" s="41" t="n">
        <v>4054612.32</v>
      </c>
      <c r="D7" s="41" t="n">
        <v>7602120.5</v>
      </c>
      <c r="E7" s="42"/>
      <c r="F7" s="42" t="n">
        <f aca="false">SUM(B7:D7)</f>
        <v>15750480.91</v>
      </c>
      <c r="G7" s="41" t="n">
        <v>13994302.29</v>
      </c>
      <c r="H7" s="41" t="n">
        <v>12567308.72</v>
      </c>
      <c r="I7" s="42" t="n">
        <f aca="false">'Cronograma da Dívida'!G7</f>
        <v>10716149.632</v>
      </c>
      <c r="J7" s="42" t="n">
        <f aca="false">'Cronograma da Dívida'!J7</f>
        <v>292070.838400003</v>
      </c>
      <c r="K7" s="42" t="n">
        <f aca="false">'Cronograma da Dívida'!K7</f>
        <v>2469378.67559999</v>
      </c>
      <c r="L7" s="42" t="n">
        <f aca="false">H7+J7-I7</f>
        <v>2143229.9264</v>
      </c>
      <c r="M7" s="43" t="n">
        <f aca="false">IF(I7=0,"-",(H7+J7)/I7)</f>
        <v>1.2</v>
      </c>
      <c r="N7" s="44" t="s">
        <v>100</v>
      </c>
      <c r="P7" s="45" t="n">
        <f aca="false">1/(1+Premissas!$B$7)^(7-3)</f>
        <v>0.569689657985274</v>
      </c>
      <c r="Q7" s="42" t="n">
        <f aca="false">L7*P7</f>
        <v>1220975.92375462</v>
      </c>
    </row>
    <row r="8" customFormat="false" ht="15" hidden="false" customHeight="true" outlineLevel="0" collapsed="false">
      <c r="A8" s="40" t="n">
        <v>2031</v>
      </c>
      <c r="B8" s="41" t="n">
        <v>4307418.41</v>
      </c>
      <c r="C8" s="41" t="n">
        <v>4256227.92</v>
      </c>
      <c r="D8" s="41" t="n">
        <v>7980135.94</v>
      </c>
      <c r="E8" s="42"/>
      <c r="F8" s="42" t="n">
        <f aca="false">SUM(B8:D8)</f>
        <v>16543782.27</v>
      </c>
      <c r="G8" s="41" t="n">
        <v>14699150.54</v>
      </c>
      <c r="H8" s="41" t="n">
        <v>13200283.87</v>
      </c>
      <c r="I8" s="42" t="n">
        <f aca="false">'Cronograma da Dívida'!G8</f>
        <v>10015142.784</v>
      </c>
      <c r="J8" s="42" t="n">
        <f aca="false">'Cronograma da Dívida'!J8</f>
        <v>0</v>
      </c>
      <c r="K8" s="42" t="n">
        <f aca="false">'Cronograma da Dívida'!K8</f>
        <v>2469378.67559999</v>
      </c>
      <c r="L8" s="42" t="n">
        <f aca="false">H8+J8-I8</f>
        <v>3185141.086</v>
      </c>
      <c r="M8" s="43" t="n">
        <f aca="false">IF(I8=0,"-",(H8+J8)/I8)</f>
        <v>1.31803251882624</v>
      </c>
      <c r="N8" s="44" t="s">
        <v>100</v>
      </c>
      <c r="P8" s="45" t="n">
        <f aca="false">1/(1+Premissas!$B$7)^(8-3)</f>
        <v>0.494934718155124</v>
      </c>
      <c r="Q8" s="42" t="n">
        <f aca="false">L8*P8</f>
        <v>1576436.90568372</v>
      </c>
    </row>
    <row r="9" customFormat="false" ht="15" hidden="false" customHeight="true" outlineLevel="0" collapsed="false">
      <c r="A9" s="40" t="n">
        <v>2032</v>
      </c>
      <c r="B9" s="41" t="n">
        <v>4532326.6</v>
      </c>
      <c r="C9" s="41" t="n">
        <v>4467868.85</v>
      </c>
      <c r="D9" s="41" t="n">
        <v>8376948.2</v>
      </c>
      <c r="E9" s="42"/>
      <c r="F9" s="42" t="n">
        <f aca="false">SUM(B9:D9)</f>
        <v>17377143.65</v>
      </c>
      <c r="G9" s="41" t="n">
        <v>15439592.13</v>
      </c>
      <c r="H9" s="41" t="n">
        <v>13865222.92</v>
      </c>
      <c r="I9" s="42" t="n">
        <f aca="false">'Cronograma da Dívida'!G9</f>
        <v>9314135.936</v>
      </c>
      <c r="J9" s="42" t="n">
        <f aca="false">'Cronograma da Dívida'!J9</f>
        <v>0</v>
      </c>
      <c r="K9" s="42" t="n">
        <f aca="false">'Cronograma da Dívida'!K9</f>
        <v>2469378.67559999</v>
      </c>
      <c r="L9" s="42" t="n">
        <f aca="false">H9+J9-I9</f>
        <v>4551086.984</v>
      </c>
      <c r="M9" s="43" t="n">
        <f aca="false">IF(I9=0,"-",(H9+J9)/I9)</f>
        <v>1.48862149052492</v>
      </c>
      <c r="N9" s="44" t="s">
        <v>100</v>
      </c>
      <c r="P9" s="45" t="n">
        <f aca="false">1/(1+Premissas!$B$7)^(9-3)</f>
        <v>0.429989156028569</v>
      </c>
      <c r="Q9" s="42" t="n">
        <f aca="false">L9*P9</f>
        <v>1956918.05126277</v>
      </c>
    </row>
    <row r="10" customFormat="false" ht="15" hidden="false" customHeight="true" outlineLevel="0" collapsed="false">
      <c r="A10" s="40" t="n">
        <v>2033</v>
      </c>
      <c r="B10" s="41" t="n">
        <v>4769067.75</v>
      </c>
      <c r="C10" s="41" t="n">
        <v>4690033.63</v>
      </c>
      <c r="D10" s="41" t="n">
        <v>8793491.95</v>
      </c>
      <c r="E10" s="42"/>
      <c r="F10" s="42" t="n">
        <f aca="false">SUM(B10:D10)</f>
        <v>18252593.33</v>
      </c>
      <c r="G10" s="41" t="n">
        <v>16217429.17</v>
      </c>
      <c r="H10" s="41" t="n">
        <v>14563744.21</v>
      </c>
      <c r="I10" s="42" t="n">
        <f aca="false">'Cronograma da Dívida'!G10</f>
        <v>8613129.088</v>
      </c>
      <c r="J10" s="42" t="n">
        <f aca="false">'Cronograma da Dívida'!J10</f>
        <v>0</v>
      </c>
      <c r="K10" s="42" t="n">
        <f aca="false">'Cronograma da Dívida'!K10</f>
        <v>2469378.67559999</v>
      </c>
      <c r="L10" s="42" t="n">
        <f aca="false">H10+J10-I10</f>
        <v>5950615.122</v>
      </c>
      <c r="M10" s="43" t="n">
        <f aca="false">IF(I10=0,"-",(H10+J10)/I10)</f>
        <v>1.69087727133807</v>
      </c>
      <c r="N10" s="44" t="s">
        <v>100</v>
      </c>
      <c r="P10" s="45" t="n">
        <f aca="false">1/(1+Premissas!$B$7)^(10-3)</f>
        <v>0.373565780536358</v>
      </c>
      <c r="Q10" s="42" t="n">
        <f aca="false">L10*P10</f>
        <v>2222946.18272138</v>
      </c>
    </row>
    <row r="11" customFormat="false" ht="15" hidden="false" customHeight="true" outlineLevel="0" collapsed="false">
      <c r="A11" s="40" t="n">
        <v>2034</v>
      </c>
      <c r="B11" s="41" t="n">
        <v>5018268.64</v>
      </c>
      <c r="C11" s="41" t="n">
        <v>4923245.56</v>
      </c>
      <c r="D11" s="41" t="n">
        <v>9230748.33</v>
      </c>
      <c r="E11" s="42"/>
      <c r="F11" s="42" t="n">
        <f aca="false">SUM(B11:D11)</f>
        <v>19172262.53</v>
      </c>
      <c r="G11" s="41" t="n">
        <v>17034555.25</v>
      </c>
      <c r="H11" s="41" t="n">
        <v>15297548.27</v>
      </c>
      <c r="I11" s="42" t="n">
        <f aca="false">'Cronograma da Dívida'!G11</f>
        <v>7912122.24</v>
      </c>
      <c r="J11" s="42" t="n">
        <f aca="false">'Cronograma da Dívida'!J11</f>
        <v>0</v>
      </c>
      <c r="K11" s="42" t="n">
        <f aca="false">'Cronograma da Dívida'!K11</f>
        <v>2469378.67559999</v>
      </c>
      <c r="L11" s="42" t="n">
        <f aca="false">H11+J11-I11</f>
        <v>7385426.03</v>
      </c>
      <c r="M11" s="43" t="n">
        <f aca="false">IF(I11=0,"-",(H11+J11)/I11)</f>
        <v>1.9334317400536</v>
      </c>
      <c r="N11" s="44" t="s">
        <v>100</v>
      </c>
      <c r="P11" s="45" t="n">
        <f aca="false">1/(1+Premissas!$B$7)^(11-3)</f>
        <v>0.324546306415379</v>
      </c>
      <c r="Q11" s="42" t="n">
        <f aca="false">L11*P11</f>
        <v>2396912.73934049</v>
      </c>
    </row>
    <row r="12" customFormat="false" ht="15" hidden="false" customHeight="true" outlineLevel="0" collapsed="false">
      <c r="A12" s="40" t="n">
        <v>2035</v>
      </c>
      <c r="B12" s="41" t="n">
        <v>5280589.45</v>
      </c>
      <c r="C12" s="41" t="n">
        <v>5168053.94</v>
      </c>
      <c r="D12" s="41" t="n">
        <v>9689747.29</v>
      </c>
      <c r="E12" s="42"/>
      <c r="F12" s="42" t="n">
        <f aca="false">SUM(B12:D12)</f>
        <v>20138390.68</v>
      </c>
      <c r="G12" s="41" t="n">
        <v>17892960.12</v>
      </c>
      <c r="H12" s="41" t="n">
        <v>16068421.92</v>
      </c>
      <c r="I12" s="42" t="n">
        <f aca="false">'Cronograma da Dívida'!G12</f>
        <v>7211115.392</v>
      </c>
      <c r="J12" s="42" t="n">
        <f aca="false">'Cronograma da Dívida'!J12</f>
        <v>0</v>
      </c>
      <c r="K12" s="42" t="n">
        <f aca="false">'Cronograma da Dívida'!K12</f>
        <v>2469378.67559999</v>
      </c>
      <c r="L12" s="42" t="n">
        <f aca="false">H12+J12-I12</f>
        <v>8857306.528</v>
      </c>
      <c r="M12" s="43" t="n">
        <f aca="false">IF(I12=0,"-",(H12+J12)/I12)</f>
        <v>2.22828523002506</v>
      </c>
      <c r="N12" s="44" t="s">
        <v>100</v>
      </c>
      <c r="P12" s="45" t="n">
        <f aca="false">1/(1+Premissas!$B$7)^(12-3)</f>
        <v>0.281959190310831</v>
      </c>
      <c r="Q12" s="42" t="n">
        <f aca="false">L12*P12</f>
        <v>2497398.97696972</v>
      </c>
    </row>
    <row r="13" customFormat="false" ht="15" hidden="false" customHeight="true" outlineLevel="0" collapsed="false">
      <c r="A13" s="40" t="n">
        <v>2036</v>
      </c>
      <c r="B13" s="41" t="n">
        <v>5556725.54</v>
      </c>
      <c r="C13" s="41" t="n">
        <v>5425035.42</v>
      </c>
      <c r="D13" s="41" t="n">
        <v>10171569.98</v>
      </c>
      <c r="E13" s="42"/>
      <c r="F13" s="42" t="n">
        <f aca="false">SUM(B13:D13)</f>
        <v>21153330.94</v>
      </c>
      <c r="G13" s="41" t="n">
        <v>18794734.54</v>
      </c>
      <c r="H13" s="41" t="n">
        <v>16878242.76</v>
      </c>
      <c r="I13" s="42" t="n">
        <f aca="false">'Cronograma da Dívida'!G13</f>
        <v>6510108.544</v>
      </c>
      <c r="J13" s="42" t="n">
        <f aca="false">'Cronograma da Dívida'!J13</f>
        <v>0</v>
      </c>
      <c r="K13" s="42" t="n">
        <f aca="false">'Cronograma da Dívida'!K13</f>
        <v>2469378.67559999</v>
      </c>
      <c r="L13" s="42" t="n">
        <f aca="false">H13+J13-I13</f>
        <v>10368134.216</v>
      </c>
      <c r="M13" s="43" t="n">
        <f aca="false">IF(I13=0,"-",(H13+J13)/I13)</f>
        <v>2.59262079056358</v>
      </c>
      <c r="N13" s="44" t="s">
        <v>100</v>
      </c>
      <c r="P13" s="45" t="n">
        <f aca="false">1/(1+Premissas!$B$7)^(13-3)</f>
        <v>0.244960375235292</v>
      </c>
      <c r="Q13" s="42" t="n">
        <f aca="false">L13*P13</f>
        <v>2539782.04804123</v>
      </c>
    </row>
    <row r="14" customFormat="false" ht="15" hidden="false" customHeight="true" outlineLevel="0" collapsed="false">
      <c r="A14" s="40" t="n">
        <v>2037</v>
      </c>
      <c r="B14" s="41" t="n">
        <v>5847409.36</v>
      </c>
      <c r="C14" s="41" t="n">
        <v>5694795.31</v>
      </c>
      <c r="D14" s="41" t="n">
        <v>10677351.29</v>
      </c>
      <c r="E14" s="42"/>
      <c r="F14" s="42" t="n">
        <f aca="false">SUM(B14:D14)</f>
        <v>22219555.96</v>
      </c>
      <c r="G14" s="41" t="n">
        <v>19742075.48</v>
      </c>
      <c r="H14" s="41" t="n">
        <v>17728983.71</v>
      </c>
      <c r="I14" s="42" t="n">
        <f aca="false">'Cronograma da Dívida'!G14</f>
        <v>5809101.696</v>
      </c>
      <c r="J14" s="42" t="n">
        <f aca="false">'Cronograma da Dívida'!J14</f>
        <v>0</v>
      </c>
      <c r="K14" s="42" t="n">
        <f aca="false">'Cronograma da Dívida'!K14</f>
        <v>2469378.67559999</v>
      </c>
      <c r="L14" s="42" t="n">
        <f aca="false">H14+J14-I14</f>
        <v>11919882.014</v>
      </c>
      <c r="M14" s="43" t="n">
        <f aca="false">IF(I14=0,"-",(H14+J14)/I14)</f>
        <v>3.05193206071908</v>
      </c>
      <c r="N14" s="44" t="s">
        <v>100</v>
      </c>
      <c r="P14" s="45" t="n">
        <f aca="false">1/(1+Premissas!$B$7)^(14-3)</f>
        <v>0.21281656174876</v>
      </c>
      <c r="Q14" s="42" t="n">
        <f aca="false">L14*P14</f>
        <v>2536748.30667036</v>
      </c>
    </row>
    <row r="15" customFormat="false" ht="15" hidden="false" customHeight="true" outlineLevel="0" collapsed="false">
      <c r="A15" s="40" t="n">
        <v>2038</v>
      </c>
      <c r="B15" s="41" t="n">
        <v>6153412.41</v>
      </c>
      <c r="C15" s="41" t="n">
        <v>5977969.01</v>
      </c>
      <c r="D15" s="41" t="n">
        <v>11208282.59</v>
      </c>
      <c r="E15" s="42"/>
      <c r="F15" s="42" t="n">
        <f aca="false">SUM(B15:D15)</f>
        <v>23339664.01</v>
      </c>
      <c r="G15" s="41" t="n">
        <v>20737291.46</v>
      </c>
      <c r="H15" s="41" t="n">
        <v>18622717.91</v>
      </c>
      <c r="I15" s="42" t="n">
        <f aca="false">'Cronograma da Dívida'!G15</f>
        <v>3558094.848</v>
      </c>
      <c r="J15" s="42" t="n">
        <f aca="false">'Cronograma da Dívida'!J15</f>
        <v>0</v>
      </c>
      <c r="K15" s="42" t="n">
        <f aca="false">'Cronograma da Dívida'!K15</f>
        <v>2469378.67559999</v>
      </c>
      <c r="L15" s="42" t="n">
        <f aca="false">H15+J15-I15</f>
        <v>15064623.062</v>
      </c>
      <c r="M15" s="43" t="n">
        <f aca="false">IF(I15=0,"-",(H15+J15)/I15)</f>
        <v>5.23390148536029</v>
      </c>
      <c r="N15" s="44" t="s">
        <v>100</v>
      </c>
      <c r="P15" s="45" t="n">
        <f aca="false">1/(1+Premissas!$B$7)^(15-3)</f>
        <v>0.184890674302161</v>
      </c>
      <c r="Q15" s="42" t="n">
        <f aca="false">L15*P15</f>
        <v>2785308.31604107</v>
      </c>
    </row>
    <row r="16" customFormat="false" ht="15" hidden="false" customHeight="true" outlineLevel="0" collapsed="false">
      <c r="A16" s="46" t="n">
        <v>2039</v>
      </c>
      <c r="B16" s="47" t="n">
        <v>6475547.32</v>
      </c>
      <c r="C16" s="47" t="n">
        <v>6275223.52</v>
      </c>
      <c r="D16" s="47" t="n">
        <v>11765614.44</v>
      </c>
      <c r="E16" s="48"/>
      <c r="F16" s="48" t="n">
        <f aca="false">SUM(B16:D16)</f>
        <v>24516385.28</v>
      </c>
      <c r="G16" s="47" t="n">
        <v>21782808.31</v>
      </c>
      <c r="H16" s="47" t="n">
        <v>19561623.81</v>
      </c>
      <c r="I16" s="48" t="n">
        <f aca="false">'Cronograma da Dívida'!G16</f>
        <v>0</v>
      </c>
      <c r="J16" s="48" t="n">
        <f aca="false">'Cronograma da Dívida'!J16</f>
        <v>0</v>
      </c>
      <c r="K16" s="48" t="n">
        <f aca="false">'Cronograma da Dívida'!K16</f>
        <v>2469378.67559999</v>
      </c>
      <c r="L16" s="48" t="n">
        <f aca="false">H16+J16-I16</f>
        <v>19561623.81</v>
      </c>
      <c r="M16" s="49" t="str">
        <f aca="false">IF(I16=0,"-",(H16+J16)/I16)</f>
        <v>-</v>
      </c>
      <c r="N16" s="50" t="s">
        <v>73</v>
      </c>
      <c r="P16" s="51" t="n">
        <f aca="false">1/(1+Premissas!$B$7)^(16-3)</f>
        <v>0.160629234693982</v>
      </c>
      <c r="Q16" s="48" t="n">
        <f aca="false">L16*P16</f>
        <v>3142168.66197188</v>
      </c>
    </row>
    <row r="17" customFormat="false" ht="15" hidden="false" customHeight="true" outlineLevel="0" collapsed="false">
      <c r="A17" s="46" t="n">
        <v>2040</v>
      </c>
      <c r="B17" s="47" t="n">
        <v>6814670.1</v>
      </c>
      <c r="C17" s="47" t="n">
        <v>6587259.01</v>
      </c>
      <c r="D17" s="47" t="n">
        <v>12350659.62</v>
      </c>
      <c r="E17" s="48"/>
      <c r="F17" s="48" t="n">
        <f aca="false">SUM(B17:D17)</f>
        <v>25752588.73</v>
      </c>
      <c r="G17" s="47" t="n">
        <v>22881175.08</v>
      </c>
      <c r="H17" s="47" t="n">
        <v>20547990.54</v>
      </c>
      <c r="I17" s="48" t="n">
        <v>0</v>
      </c>
      <c r="J17" s="48" t="n">
        <v>0</v>
      </c>
      <c r="K17" s="48" t="n">
        <f aca="false">K16</f>
        <v>2469378.67559999</v>
      </c>
      <c r="L17" s="48" t="n">
        <f aca="false">H17+J17-I17</f>
        <v>20547990.54</v>
      </c>
      <c r="M17" s="49" t="str">
        <f aca="false">IF(I17=0,"-",(H17+J17)/I17)</f>
        <v>-</v>
      </c>
      <c r="N17" s="50" t="s">
        <v>73</v>
      </c>
      <c r="P17" s="51" t="n">
        <f aca="false">1/(1+Premissas!$B$7)^(17-3)</f>
        <v>0.139551392387738</v>
      </c>
      <c r="Q17" s="48" t="n">
        <f aca="false">L17*P17</f>
        <v>2867500.69062707</v>
      </c>
    </row>
    <row r="18" customFormat="false" ht="15" hidden="false" customHeight="true" outlineLevel="0" collapsed="false">
      <c r="A18" s="46" t="n">
        <v>2041</v>
      </c>
      <c r="B18" s="47" t="n">
        <v>7171682.43</v>
      </c>
      <c r="C18" s="47" t="n">
        <v>6914810.46</v>
      </c>
      <c r="D18" s="47" t="n">
        <v>12964796.17</v>
      </c>
      <c r="E18" s="48"/>
      <c r="F18" s="48" t="n">
        <f aca="false">SUM(B18:D18)</f>
        <v>27051289.06</v>
      </c>
      <c r="G18" s="47" t="n">
        <v>24035070.33</v>
      </c>
      <c r="H18" s="47" t="n">
        <v>21584223.54</v>
      </c>
      <c r="I18" s="48" t="n">
        <v>0</v>
      </c>
      <c r="J18" s="48" t="n">
        <v>0</v>
      </c>
      <c r="K18" s="48" t="n">
        <f aca="false">K17</f>
        <v>2469378.67559999</v>
      </c>
      <c r="L18" s="48" t="n">
        <f aca="false">H18+J18-I18</f>
        <v>21584223.54</v>
      </c>
      <c r="M18" s="49" t="str">
        <f aca="false">IF(I18=0,"-",(H18+J18)/I18)</f>
        <v>-</v>
      </c>
      <c r="N18" s="50" t="s">
        <v>73</v>
      </c>
      <c r="P18" s="51" t="n">
        <f aca="false">1/(1+Premissas!$B$7)^(18-3)</f>
        <v>0.121239394276253</v>
      </c>
      <c r="Q18" s="48" t="n">
        <f aca="false">L18*P18</f>
        <v>2616858.18791284</v>
      </c>
    </row>
    <row r="19" customFormat="false" ht="15" hidden="false" customHeight="true" outlineLevel="0" collapsed="false">
      <c r="A19" s="46" t="n">
        <v>2042</v>
      </c>
      <c r="B19" s="47" t="n">
        <v>7547534.14</v>
      </c>
      <c r="C19" s="47" t="n">
        <v>7258649.41</v>
      </c>
      <c r="D19" s="47" t="n">
        <v>13609470.66</v>
      </c>
      <c r="E19" s="48"/>
      <c r="F19" s="48" t="n">
        <f aca="false">SUM(B19:D19)</f>
        <v>28415654.21</v>
      </c>
      <c r="G19" s="47" t="n">
        <v>25247308.76</v>
      </c>
      <c r="H19" s="47" t="n">
        <v>22672850.49</v>
      </c>
      <c r="I19" s="48" t="n">
        <v>0</v>
      </c>
      <c r="J19" s="48" t="n">
        <v>0</v>
      </c>
      <c r="K19" s="48" t="n">
        <f aca="false">K18</f>
        <v>2469378.67559999</v>
      </c>
      <c r="L19" s="48" t="n">
        <f aca="false">H19+J19-I19</f>
        <v>22672850.49</v>
      </c>
      <c r="M19" s="49" t="str">
        <f aca="false">IF(I19=0,"-",(H19+J19)/I19)</f>
        <v>-</v>
      </c>
      <c r="N19" s="50" t="s">
        <v>73</v>
      </c>
      <c r="P19" s="51" t="n">
        <f aca="false">1/(1+Premissas!$B$7)^(19-3)</f>
        <v>0.105330305007865</v>
      </c>
      <c r="Q19" s="48" t="n">
        <f aca="false">L19*P19</f>
        <v>2388138.25750942</v>
      </c>
    </row>
    <row r="20" customFormat="false" ht="15" hidden="false" customHeight="true" outlineLevel="0" collapsed="false">
      <c r="A20" s="46" t="n">
        <v>2043</v>
      </c>
      <c r="B20" s="47" t="n">
        <v>7943225.76</v>
      </c>
      <c r="C20" s="47" t="n">
        <v>7619585.75</v>
      </c>
      <c r="D20" s="47" t="n">
        <v>14286201.58</v>
      </c>
      <c r="E20" s="48"/>
      <c r="F20" s="48" t="n">
        <f aca="false">SUM(B20:D20)</f>
        <v>29849013.09</v>
      </c>
      <c r="G20" s="47" t="n">
        <v>26520848.13</v>
      </c>
      <c r="H20" s="47" t="n">
        <v>23816527.55</v>
      </c>
      <c r="I20" s="48" t="n">
        <v>0</v>
      </c>
      <c r="J20" s="48" t="n">
        <v>0</v>
      </c>
      <c r="K20" s="48" t="n">
        <f aca="false">K19</f>
        <v>2469378.67559999</v>
      </c>
      <c r="L20" s="48" t="n">
        <f aca="false">H20+J20-I20</f>
        <v>23816527.55</v>
      </c>
      <c r="M20" s="49" t="str">
        <f aca="false">IF(I20=0,"-",(H20+J20)/I20)</f>
        <v>-</v>
      </c>
      <c r="N20" s="50" t="s">
        <v>73</v>
      </c>
      <c r="P20" s="51" t="n">
        <f aca="false">1/(1+Premissas!$B$7)^(20-3)</f>
        <v>0.0915088137752511</v>
      </c>
      <c r="Q20" s="48" t="n">
        <f aca="false">L20*P20</f>
        <v>2179422.18434609</v>
      </c>
    </row>
    <row r="21" customFormat="false" ht="15" hidden="false" customHeight="true" outlineLevel="0" collapsed="false">
      <c r="A21" s="46" t="n">
        <v>2044</v>
      </c>
      <c r="B21" s="47" t="n">
        <v>8359811.24</v>
      </c>
      <c r="C21" s="47" t="n">
        <v>7998469.65</v>
      </c>
      <c r="D21" s="47" t="n">
        <v>14996582.96</v>
      </c>
      <c r="E21" s="48"/>
      <c r="F21" s="48" t="n">
        <f aca="false">SUM(B21:D21)</f>
        <v>31354863.85</v>
      </c>
      <c r="G21" s="47" t="n">
        <v>27858796.53</v>
      </c>
      <c r="H21" s="47" t="n">
        <v>25018045.87</v>
      </c>
      <c r="I21" s="48" t="n">
        <v>0</v>
      </c>
      <c r="J21" s="48" t="n">
        <v>0</v>
      </c>
      <c r="K21" s="48" t="n">
        <f aca="false">K20</f>
        <v>2469378.67559999</v>
      </c>
      <c r="L21" s="48" t="n">
        <f aca="false">H21+J21-I21</f>
        <v>25018045.87</v>
      </c>
      <c r="M21" s="49" t="str">
        <f aca="false">IF(I21=0,"-",(H21+J21)/I21)</f>
        <v>-</v>
      </c>
      <c r="N21" s="50" t="s">
        <v>73</v>
      </c>
      <c r="P21" s="51" t="n">
        <f aca="false">1/(1+Premissas!$B$7)^(21-3)</f>
        <v>0.0795009850007394</v>
      </c>
      <c r="Q21" s="48" t="n">
        <f aca="false">L21*P21</f>
        <v>1988959.28945868</v>
      </c>
    </row>
    <row r="22" customFormat="false" ht="15" hidden="false" customHeight="true" outlineLevel="0" collapsed="false">
      <c r="A22" s="46" t="n">
        <v>2045</v>
      </c>
      <c r="B22" s="47" t="n">
        <v>8798400.87</v>
      </c>
      <c r="C22" s="47" t="n">
        <v>8396193.56</v>
      </c>
      <c r="D22" s="47" t="n">
        <v>15742288.05</v>
      </c>
      <c r="E22" s="48"/>
      <c r="F22" s="48" t="n">
        <f aca="false">SUM(B22:D22)</f>
        <v>32936882.48</v>
      </c>
      <c r="G22" s="47" t="n">
        <v>29264420.07</v>
      </c>
      <c r="H22" s="47" t="n">
        <v>26280338.52</v>
      </c>
      <c r="I22" s="48" t="n">
        <v>0</v>
      </c>
      <c r="J22" s="48" t="n">
        <v>0</v>
      </c>
      <c r="K22" s="48" t="n">
        <f aca="false">K21</f>
        <v>2469378.67559999</v>
      </c>
      <c r="L22" s="48" t="n">
        <f aca="false">H22+J22-I22</f>
        <v>26280338.52</v>
      </c>
      <c r="M22" s="49" t="str">
        <f aca="false">IF(I22=0,"-",(H22+J22)/I22)</f>
        <v>-</v>
      </c>
      <c r="N22" s="50" t="s">
        <v>73</v>
      </c>
      <c r="P22" s="51" t="n">
        <f aca="false">1/(1+Premissas!$B$7)^(22-3)</f>
        <v>0.0690688290595804</v>
      </c>
      <c r="Q22" s="48" t="n">
        <f aca="false">L22*P22</f>
        <v>1815152.20886579</v>
      </c>
    </row>
    <row r="23" customFormat="false" ht="15" hidden="false" customHeight="true" outlineLevel="0" collapsed="false">
      <c r="A23" s="46" t="n">
        <v>2046</v>
      </c>
      <c r="B23" s="47" t="n">
        <v>9260164.22</v>
      </c>
      <c r="C23" s="47" t="n">
        <v>8813694.28</v>
      </c>
      <c r="D23" s="47" t="n">
        <v>16525073.32</v>
      </c>
      <c r="E23" s="48"/>
      <c r="F23" s="48" t="n">
        <f aca="false">SUM(B23:D23)</f>
        <v>34598931.82</v>
      </c>
      <c r="G23" s="47" t="n">
        <v>30741150.92</v>
      </c>
      <c r="H23" s="47" t="n">
        <v>27606487.7</v>
      </c>
      <c r="I23" s="48" t="n">
        <v>0</v>
      </c>
      <c r="J23" s="48" t="n">
        <v>0</v>
      </c>
      <c r="K23" s="48" t="n">
        <f aca="false">K22</f>
        <v>2469378.67559999</v>
      </c>
      <c r="L23" s="48" t="n">
        <f aca="false">H23+J23-I23</f>
        <v>27606487.7</v>
      </c>
      <c r="M23" s="49" t="str">
        <f aca="false">IF(I23=0,"-",(H23+J23)/I23)</f>
        <v>-</v>
      </c>
      <c r="N23" s="50" t="s">
        <v>73</v>
      </c>
      <c r="P23" s="51" t="n">
        <f aca="false">1/(1+Premissas!$B$7)^(23-3)</f>
        <v>0.0600055854354153</v>
      </c>
      <c r="Q23" s="48" t="n">
        <f aca="false">L23*P23</f>
        <v>1656543.45625409</v>
      </c>
    </row>
    <row r="24" customFormat="false" ht="15" hidden="false" customHeight="true" outlineLevel="0" collapsed="false">
      <c r="A24" s="46" t="n">
        <v>2047</v>
      </c>
      <c r="B24" s="47" t="n">
        <v>9746333.4</v>
      </c>
      <c r="C24" s="47" t="n">
        <v>9251955.23</v>
      </c>
      <c r="D24" s="47" t="n">
        <v>17346782.59</v>
      </c>
      <c r="E24" s="48"/>
      <c r="F24" s="48" t="n">
        <f aca="false">SUM(B24:D24)</f>
        <v>36345071.22</v>
      </c>
      <c r="G24" s="47" t="n">
        <v>32292595.78</v>
      </c>
      <c r="H24" s="47" t="n">
        <v>28999732.33</v>
      </c>
      <c r="I24" s="48" t="n">
        <v>0</v>
      </c>
      <c r="J24" s="48" t="n">
        <v>0</v>
      </c>
      <c r="K24" s="48" t="n">
        <f aca="false">K23</f>
        <v>2469378.67559999</v>
      </c>
      <c r="L24" s="48" t="n">
        <f aca="false">H24+J24-I24</f>
        <v>28999732.33</v>
      </c>
      <c r="M24" s="49" t="str">
        <f aca="false">IF(I24=0,"-",(H24+J24)/I24)</f>
        <v>-</v>
      </c>
      <c r="N24" s="50" t="s">
        <v>73</v>
      </c>
      <c r="P24" s="51" t="n">
        <f aca="false">1/(1+Premissas!$B$7)^(24-3)</f>
        <v>0.052131624822261</v>
      </c>
      <c r="Q24" s="48" t="n">
        <f aca="false">L24*P24</f>
        <v>1511803.16577355</v>
      </c>
    </row>
    <row r="25" customFormat="false" ht="15" hidden="false" customHeight="true" outlineLevel="0" collapsed="false">
      <c r="A25" s="46" t="n">
        <v>2048</v>
      </c>
      <c r="B25" s="47" t="n">
        <v>10258206.38</v>
      </c>
      <c r="C25" s="47" t="n">
        <v>9712008.7</v>
      </c>
      <c r="D25" s="47" t="n">
        <v>18209351.35</v>
      </c>
      <c r="E25" s="48"/>
      <c r="F25" s="48" t="n">
        <f aca="false">SUM(B25:D25)</f>
        <v>38179566.43</v>
      </c>
      <c r="G25" s="47" t="n">
        <v>33922544.78</v>
      </c>
      <c r="H25" s="47" t="n">
        <v>30463476.06</v>
      </c>
      <c r="I25" s="48" t="n">
        <v>0</v>
      </c>
      <c r="J25" s="48" t="n">
        <v>0</v>
      </c>
      <c r="K25" s="48" t="n">
        <f aca="false">K24</f>
        <v>2469378.67559999</v>
      </c>
      <c r="L25" s="48" t="n">
        <f aca="false">H25+J25-I25</f>
        <v>30463476.06</v>
      </c>
      <c r="M25" s="49" t="str">
        <f aca="false">IF(I25=0,"-",(H25+J25)/I25)</f>
        <v>-</v>
      </c>
      <c r="N25" s="50" t="s">
        <v>73</v>
      </c>
      <c r="P25" s="51" t="n">
        <f aca="false">1/(1+Premissas!$B$7)^(25-3)</f>
        <v>0.0452908889545637</v>
      </c>
      <c r="Q25" s="48" t="n">
        <f aca="false">L25*P25</f>
        <v>1379717.91140347</v>
      </c>
    </row>
    <row r="26" customFormat="false" ht="15" hidden="false" customHeight="true" outlineLevel="0" collapsed="false">
      <c r="A26" s="46" t="n">
        <v>2049</v>
      </c>
      <c r="B26" s="47" t="n">
        <v>10797150.53</v>
      </c>
      <c r="C26" s="47" t="n">
        <v>10194938.34</v>
      </c>
      <c r="D26" s="47" t="n">
        <v>19114811.35</v>
      </c>
      <c r="E26" s="48"/>
      <c r="F26" s="48" t="n">
        <f aca="false">SUM(B26:D26)</f>
        <v>40106900.22</v>
      </c>
      <c r="G26" s="47" t="n">
        <v>35634980.84</v>
      </c>
      <c r="H26" s="47" t="n">
        <v>32001295.68</v>
      </c>
      <c r="I26" s="48" t="n">
        <v>0</v>
      </c>
      <c r="J26" s="48" t="n">
        <v>0</v>
      </c>
      <c r="K26" s="48" t="n">
        <f aca="false">K25</f>
        <v>2469378.67559999</v>
      </c>
      <c r="L26" s="48" t="n">
        <f aca="false">H26+J26-I26</f>
        <v>32001295.68</v>
      </c>
      <c r="M26" s="49" t="str">
        <f aca="false">IF(I26=0,"-",(H26+J26)/I26)</f>
        <v>-</v>
      </c>
      <c r="N26" s="50" t="s">
        <v>73</v>
      </c>
      <c r="P26" s="51" t="n">
        <f aca="false">1/(1+Premissas!$B$7)^(26-3)</f>
        <v>0.0393477976043957</v>
      </c>
      <c r="Q26" s="48" t="n">
        <f aca="false">L26*P26</f>
        <v>1259180.50549506</v>
      </c>
    </row>
    <row r="27" customFormat="false" ht="15" hidden="false" customHeight="true" outlineLevel="0" collapsed="false">
      <c r="A27" s="46" t="n">
        <v>2050</v>
      </c>
      <c r="B27" s="47" t="n">
        <v>11364606.34</v>
      </c>
      <c r="C27" s="47" t="n">
        <v>10701881.64</v>
      </c>
      <c r="D27" s="47" t="n">
        <v>20065295.34</v>
      </c>
      <c r="E27" s="48"/>
      <c r="F27" s="48" t="n">
        <f aca="false">SUM(B27:D27)</f>
        <v>42131783.32</v>
      </c>
      <c r="G27" s="47" t="n">
        <v>37434089.49</v>
      </c>
      <c r="H27" s="47" t="n">
        <v>33616949.92</v>
      </c>
      <c r="I27" s="48" t="n">
        <v>0</v>
      </c>
      <c r="J27" s="48" t="n">
        <v>0</v>
      </c>
      <c r="K27" s="48" t="n">
        <f aca="false">K26</f>
        <v>2469378.67559999</v>
      </c>
      <c r="L27" s="48" t="n">
        <f aca="false">H27+J27-I27</f>
        <v>33616949.92</v>
      </c>
      <c r="M27" s="49" t="str">
        <f aca="false">IF(I27=0,"-",(H27+J27)/I27)</f>
        <v>-</v>
      </c>
      <c r="N27" s="50" t="s">
        <v>73</v>
      </c>
      <c r="P27" s="51" t="n">
        <f aca="false">1/(1+Premissas!$B$7)^(27-3)</f>
        <v>0.0341845614439079</v>
      </c>
      <c r="Q27" s="48" t="n">
        <f aca="false">L27*P27</f>
        <v>1149180.69009701</v>
      </c>
    </row>
    <row r="28" customFormat="false" ht="15" hidden="false" customHeight="true" outlineLevel="0" collapsed="false">
      <c r="A28" s="46" t="n">
        <v>2051</v>
      </c>
      <c r="B28" s="47" t="n">
        <v>11962091.39</v>
      </c>
      <c r="C28" s="47" t="n">
        <v>11234032.71</v>
      </c>
      <c r="D28" s="47" t="n">
        <v>21063042.16</v>
      </c>
      <c r="E28" s="48"/>
      <c r="F28" s="48" t="n">
        <f aca="false">SUM(B28:D28)</f>
        <v>44259166.26</v>
      </c>
      <c r="G28" s="47" t="n">
        <v>39324269.22</v>
      </c>
      <c r="H28" s="47" t="n">
        <v>35314388.75</v>
      </c>
      <c r="I28" s="48" t="n">
        <v>0</v>
      </c>
      <c r="J28" s="48" t="n">
        <v>0</v>
      </c>
      <c r="K28" s="48" t="n">
        <f aca="false">K27</f>
        <v>2469378.67559999</v>
      </c>
      <c r="L28" s="48" t="n">
        <f aca="false">H28+J28-I28</f>
        <v>35314388.75</v>
      </c>
      <c r="M28" s="49" t="str">
        <f aca="false">IF(I28=0,"-",(H28+J28)/I28)</f>
        <v>-</v>
      </c>
      <c r="N28" s="50" t="s">
        <v>73</v>
      </c>
      <c r="P28" s="51" t="n">
        <f aca="false">1/(1+Premissas!$B$7)^(28-3)</f>
        <v>0.0296988475152105</v>
      </c>
      <c r="Q28" s="48" t="n">
        <f aca="false">L28*P28</f>
        <v>1048796.64657911</v>
      </c>
    </row>
    <row r="29" customFormat="false" ht="15" hidden="false" customHeight="true" outlineLevel="0" collapsed="false">
      <c r="A29" s="46" t="n">
        <v>2052</v>
      </c>
      <c r="B29" s="47" t="n">
        <v>12591204.43</v>
      </c>
      <c r="C29" s="47" t="n">
        <v>11792644.99</v>
      </c>
      <c r="D29" s="47" t="n">
        <v>22110401.93</v>
      </c>
      <c r="E29" s="48"/>
      <c r="F29" s="48" t="n">
        <f aca="false">SUM(B29:D29)</f>
        <v>46494251.35</v>
      </c>
      <c r="G29" s="47" t="n">
        <v>41310142.32</v>
      </c>
      <c r="H29" s="47" t="n">
        <v>37097763.15</v>
      </c>
      <c r="I29" s="48" t="n">
        <v>0</v>
      </c>
      <c r="J29" s="48" t="n">
        <v>0</v>
      </c>
      <c r="K29" s="48" t="n">
        <f aca="false">K28</f>
        <v>2469378.67559999</v>
      </c>
      <c r="L29" s="48" t="n">
        <f aca="false">H29+J29-I29</f>
        <v>37097763.15</v>
      </c>
      <c r="M29" s="49" t="str">
        <f aca="false">IF(I29=0,"-",(H29+J29)/I29)</f>
        <v>-</v>
      </c>
      <c r="N29" s="50" t="s">
        <v>73</v>
      </c>
      <c r="P29" s="51" t="n">
        <f aca="false">1/(1+Premissas!$B$7)^(29-3)</f>
        <v>0.0258017510383744</v>
      </c>
      <c r="Q29" s="48" t="n">
        <f aca="false">L29*P29</f>
        <v>957187.24887688</v>
      </c>
    </row>
    <row r="30" customFormat="false" ht="15" hidden="false" customHeight="true" outlineLevel="0" collapsed="false">
      <c r="A30" s="46" t="n">
        <v>2053</v>
      </c>
      <c r="B30" s="47" t="n">
        <v>13253629.8</v>
      </c>
      <c r="C30" s="47" t="n">
        <v>12379034.26</v>
      </c>
      <c r="D30" s="47" t="n">
        <v>23209841.66</v>
      </c>
      <c r="E30" s="48"/>
      <c r="F30" s="48" t="n">
        <f aca="false">SUM(B30:D30)</f>
        <v>48842505.72</v>
      </c>
      <c r="G30" s="47" t="n">
        <v>43396566.33</v>
      </c>
      <c r="H30" s="47" t="n">
        <v>38971435.31</v>
      </c>
      <c r="I30" s="48" t="n">
        <v>0</v>
      </c>
      <c r="J30" s="48" t="n">
        <v>0</v>
      </c>
      <c r="K30" s="48" t="n">
        <f aca="false">K29</f>
        <v>2469378.67559999</v>
      </c>
      <c r="L30" s="48" t="n">
        <f aca="false">H30+J30-I30</f>
        <v>38971435.31</v>
      </c>
      <c r="M30" s="49" t="str">
        <f aca="false">IF(I30=0,"-",(H30+J30)/I30)</f>
        <v>-</v>
      </c>
      <c r="N30" s="50" t="s">
        <v>73</v>
      </c>
      <c r="P30" s="51" t="n">
        <f aca="false">1/(1+Premissas!$B$7)^(30-3)</f>
        <v>0.022416033359722</v>
      </c>
      <c r="Q30" s="48" t="n">
        <f aca="false">L30*P30</f>
        <v>873584.993985208</v>
      </c>
    </row>
    <row r="31" customFormat="false" ht="15" hidden="false" customHeight="true" outlineLevel="0" collapsed="false">
      <c r="A31" s="46" t="n">
        <v>2054</v>
      </c>
      <c r="B31" s="47" t="n">
        <v>13951142</v>
      </c>
      <c r="C31" s="47" t="n">
        <v>12994581.74</v>
      </c>
      <c r="D31" s="47" t="n">
        <v>24363951.04</v>
      </c>
      <c r="E31" s="48"/>
      <c r="F31" s="48" t="n">
        <f aca="false">SUM(B31:D31)</f>
        <v>51309674.78</v>
      </c>
      <c r="G31" s="47" t="n">
        <v>45588646.04</v>
      </c>
      <c r="H31" s="47" t="n">
        <v>40939989.5</v>
      </c>
      <c r="I31" s="48" t="n">
        <v>0</v>
      </c>
      <c r="J31" s="48" t="n">
        <v>0</v>
      </c>
      <c r="K31" s="48" t="n">
        <f aca="false">K30</f>
        <v>2469378.67559999</v>
      </c>
      <c r="L31" s="48" t="n">
        <f aca="false">H31+J31-I31</f>
        <v>40939989.5</v>
      </c>
      <c r="M31" s="49" t="str">
        <f aca="false">IF(I31=0,"-",(H31+J31)/I31)</f>
        <v>-</v>
      </c>
      <c r="N31" s="50" t="s">
        <v>73</v>
      </c>
      <c r="P31" s="51" t="n">
        <f aca="false">1/(1+Premissas!$B$7)^(31-3)</f>
        <v>0.0194745911173565</v>
      </c>
      <c r="Q31" s="48" t="n">
        <f aca="false">L31*P31</f>
        <v>797289.555861367</v>
      </c>
    </row>
    <row r="32" customFormat="false" ht="15" hidden="false" customHeight="true" outlineLevel="0" collapsed="false">
      <c r="A32" s="46" t="n">
        <v>2055</v>
      </c>
      <c r="B32" s="47" t="n">
        <v>14685610.54</v>
      </c>
      <c r="C32" s="47" t="n">
        <v>13640737.31</v>
      </c>
      <c r="D32" s="47" t="n">
        <v>25575448.5</v>
      </c>
      <c r="E32" s="48"/>
      <c r="F32" s="48" t="n">
        <f aca="false">SUM(B32:D32)</f>
        <v>53901796.35</v>
      </c>
      <c r="G32" s="47" t="n">
        <v>47891746.07</v>
      </c>
      <c r="H32" s="47" t="n">
        <v>43008243.32</v>
      </c>
      <c r="I32" s="48" t="n">
        <v>0</v>
      </c>
      <c r="J32" s="48" t="n">
        <v>0</v>
      </c>
      <c r="K32" s="48" t="n">
        <f aca="false">K31</f>
        <v>2469378.67559999</v>
      </c>
      <c r="L32" s="48" t="n">
        <f aca="false">H32+J32-I32</f>
        <v>43008243.32</v>
      </c>
      <c r="M32" s="49" t="str">
        <f aca="false">IF(I32=0,"-",(H32+J32)/I32)</f>
        <v>-</v>
      </c>
      <c r="N32" s="50" t="s">
        <v>73</v>
      </c>
      <c r="P32" s="51" t="n">
        <f aca="false">1/(1+Premissas!$B$7)^(32-3)</f>
        <v>0.0169191262834971</v>
      </c>
      <c r="Q32" s="48" t="n">
        <f aca="false">L32*P32</f>
        <v>727661.89996245</v>
      </c>
    </row>
    <row r="33" customFormat="false" ht="15" hidden="false" customHeight="true" outlineLevel="0" collapsed="false">
      <c r="A33" s="46" t="n">
        <v>2056</v>
      </c>
      <c r="B33" s="47" t="n">
        <v>0</v>
      </c>
      <c r="C33" s="47" t="n">
        <v>14319022.98</v>
      </c>
      <c r="D33" s="47" t="n">
        <v>26847187.68</v>
      </c>
      <c r="E33" s="48"/>
      <c r="F33" s="48" t="n">
        <f aca="false">SUM(B33:D33)</f>
        <v>41166210.66</v>
      </c>
      <c r="G33" s="47" t="n">
        <v>36576178.17</v>
      </c>
      <c r="H33" s="47" t="n">
        <v>32846519.48</v>
      </c>
      <c r="I33" s="48" t="n">
        <v>0</v>
      </c>
      <c r="J33" s="48" t="n">
        <v>0</v>
      </c>
      <c r="K33" s="48" t="n">
        <f aca="false">K32</f>
        <v>2469378.67559999</v>
      </c>
      <c r="L33" s="48" t="n">
        <f aca="false">H33+J33-I33</f>
        <v>32846519.48</v>
      </c>
      <c r="M33" s="49" t="str">
        <f aca="false">IF(I33=0,"-",(H33+J33)/I33)</f>
        <v>-</v>
      </c>
      <c r="N33" s="50" t="s">
        <v>73</v>
      </c>
      <c r="P33" s="51" t="n">
        <f aca="false">1/(1+Premissas!$B$7)^(33-3)</f>
        <v>0.0146989907244727</v>
      </c>
      <c r="Q33" s="48" t="n">
        <f aca="false">L33*P33</f>
        <v>482810.685167732</v>
      </c>
    </row>
    <row r="34" customFormat="false" ht="15" hidden="false" customHeight="true" outlineLevel="0" collapsed="false">
      <c r="A34" s="24" t="s">
        <v>66</v>
      </c>
      <c r="B34" s="25" t="n">
        <f aca="false">SUM(B3:B33)</f>
        <v>230983838.86</v>
      </c>
      <c r="C34" s="25" t="n">
        <f aca="false">SUM(C3:C33)</f>
        <v>231789972.72</v>
      </c>
      <c r="D34" s="25" t="n">
        <f aca="false">SUM(D3:D33)</f>
        <v>434590328.6</v>
      </c>
      <c r="E34" s="25" t="n">
        <f aca="false">SUM(E3:E33)</f>
        <v>0</v>
      </c>
      <c r="F34" s="25" t="n">
        <f aca="false">SUM(F3:F33)</f>
        <v>897364140.18</v>
      </c>
      <c r="G34" s="25" t="n">
        <f aca="false">SUM(G3:G33)</f>
        <v>797308038.49</v>
      </c>
      <c r="H34" s="25" t="n">
        <f aca="false">SUM(H3:H33)</f>
        <v>716006847.42</v>
      </c>
      <c r="I34" s="25" t="n">
        <f aca="false">SUM(I3:I33)</f>
        <v>97426766.9333334</v>
      </c>
      <c r="J34" s="25" t="n">
        <f aca="false">SUM(J3:J33)</f>
        <v>2027901.32440001</v>
      </c>
      <c r="K34" s="26"/>
      <c r="L34" s="25" t="n">
        <f aca="false">SUM(L3:L33)</f>
        <v>620607981.811067</v>
      </c>
      <c r="M34" s="26"/>
      <c r="N34" s="26"/>
      <c r="P34" s="26"/>
      <c r="Q34" s="25" t="n">
        <f aca="false">SUM(Q3:Q33)</f>
        <v>57426448.7196553</v>
      </c>
    </row>
    <row r="36" customFormat="false" ht="15" hidden="false" customHeight="true" outlineLevel="0" collapsed="false">
      <c r="A36" s="15" t="s">
        <v>101</v>
      </c>
      <c r="H36" s="16" t="n">
        <f aca="false">SUM(H17:H33)</f>
        <v>520786257.71</v>
      </c>
      <c r="L36" s="16" t="n">
        <f aca="false">SUM(L17:L33)</f>
        <v>520786257.71</v>
      </c>
      <c r="Q36" s="16" t="n">
        <f aca="false">SUM(Q17:Q33)</f>
        <v>25699787.5781758</v>
      </c>
    </row>
    <row r="38" customFormat="false" ht="85.5" hidden="false" customHeight="true" outlineLevel="0" collapsed="false">
      <c r="A38" s="20" t="s">
        <v>102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</row>
  </sheetData>
  <mergeCells count="1">
    <mergeCell ref="A38:Q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2026-08-10T16:41:18Z</dcterms:created>
  <dc:creator>openpyxl</dc:creator>
  <dc:description/>
  <dc:language>en-US</dc:language>
  <cp:lastModifiedBy/>
  <dcterms:modified xsi:type="dcterms:W3CDTF">2026-08-10T17:22:16Z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